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INCRONIZADO\Trabajo\Research\docencia\18- UGR ETSA\ACIE\Clases\Architrave\3 Losas, unidireccionales y cimentación\Conversor de reticular y Elescopa a placas macizas equivalentes\"/>
    </mc:Choice>
  </mc:AlternateContent>
  <xr:revisionPtr revIDLastSave="0" documentId="13_ncr:1_{35A1406F-5186-4D41-8D62-90F89FC28107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Conversión" sheetId="4" r:id="rId1"/>
    <sheet name="cálculos intermedios" sheetId="5" r:id="rId2"/>
    <sheet name="auxiliar" sheetId="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4" l="1"/>
  <c r="K11" i="5"/>
  <c r="K10" i="5"/>
  <c r="K6" i="5"/>
  <c r="K5" i="5"/>
  <c r="K3" i="5"/>
  <c r="K2" i="5"/>
  <c r="G15" i="5"/>
  <c r="G13" i="5"/>
  <c r="G11" i="5"/>
  <c r="G10" i="5"/>
  <c r="G6" i="5"/>
  <c r="G5" i="5"/>
  <c r="G3" i="5"/>
  <c r="G2" i="5"/>
  <c r="C17" i="5"/>
  <c r="C13" i="5"/>
  <c r="C10" i="5"/>
  <c r="C5" i="5"/>
  <c r="C2" i="5"/>
  <c r="K4" i="5" l="1"/>
  <c r="K7" i="5" s="1"/>
  <c r="K8" i="5" s="1"/>
  <c r="G4" i="5"/>
  <c r="G7" i="5" s="1"/>
  <c r="G9" i="5" s="1"/>
  <c r="K34" i="4"/>
  <c r="K35" i="4"/>
  <c r="K36" i="4"/>
  <c r="J36" i="4"/>
  <c r="J35" i="4"/>
  <c r="J34" i="4"/>
  <c r="L27" i="4"/>
  <c r="K17" i="5" s="1"/>
  <c r="K18" i="5" s="1"/>
  <c r="K9" i="5" l="1"/>
  <c r="K12" i="5" s="1"/>
  <c r="K13" i="5" s="1"/>
  <c r="K14" i="5" s="1"/>
  <c r="K19" i="5" s="1"/>
  <c r="G8" i="5"/>
  <c r="G12" i="5" s="1"/>
  <c r="G14" i="5" s="1"/>
  <c r="G16" i="5" s="1"/>
  <c r="G17" i="5" s="1"/>
  <c r="G19" i="5"/>
  <c r="G20" i="5" s="1"/>
  <c r="P18" i="1"/>
  <c r="P19" i="1"/>
  <c r="P17" i="1"/>
  <c r="N18" i="1"/>
  <c r="G35" i="4"/>
  <c r="F35" i="4"/>
  <c r="G34" i="4"/>
  <c r="F34" i="4"/>
  <c r="C34" i="4"/>
  <c r="C35" i="4"/>
  <c r="B35" i="4"/>
  <c r="B34" i="4"/>
  <c r="C18" i="1"/>
  <c r="C19" i="1"/>
  <c r="C17" i="1"/>
  <c r="A18" i="1"/>
  <c r="D31" i="4"/>
  <c r="D30" i="4"/>
  <c r="G21" i="5" l="1"/>
  <c r="C21" i="5"/>
  <c r="C22" i="5" s="1"/>
  <c r="C3" i="5"/>
  <c r="C11" i="5"/>
  <c r="C6" i="5"/>
  <c r="K15" i="5"/>
  <c r="L34" i="4"/>
  <c r="C4" i="5" l="1"/>
  <c r="C7" i="5" s="1"/>
  <c r="L35" i="4"/>
  <c r="L36" i="4"/>
  <c r="C9" i="5" l="1"/>
  <c r="C8" i="5"/>
  <c r="H34" i="4"/>
  <c r="H35" i="4"/>
  <c r="C12" i="5" l="1"/>
  <c r="C14" i="5" s="1"/>
  <c r="C16" i="5" l="1"/>
  <c r="C18" i="5" s="1"/>
  <c r="C19" i="5" s="1"/>
  <c r="C15" i="5"/>
  <c r="C23" i="5" l="1"/>
  <c r="D35" i="4" s="1"/>
  <c r="D34" i="4"/>
</calcChain>
</file>

<file path=xl/sharedStrings.xml><?xml version="1.0" encoding="utf-8"?>
<sst xmlns="http://schemas.openxmlformats.org/spreadsheetml/2006/main" count="184" uniqueCount="68">
  <si>
    <t>h</t>
  </si>
  <si>
    <t>yg</t>
  </si>
  <si>
    <t>P</t>
  </si>
  <si>
    <t>yg cabeza</t>
  </si>
  <si>
    <t>yg nervio</t>
  </si>
  <si>
    <t>A cabeza</t>
  </si>
  <si>
    <t>A nervio</t>
  </si>
  <si>
    <t>FORJADO RETICULAR</t>
  </si>
  <si>
    <t>V</t>
  </si>
  <si>
    <t>[cm]</t>
  </si>
  <si>
    <t>[cm4]</t>
  </si>
  <si>
    <t>[cm2]</t>
  </si>
  <si>
    <t>[kN/m2]</t>
  </si>
  <si>
    <t>[kN/m3]</t>
  </si>
  <si>
    <t>h-c</t>
  </si>
  <si>
    <t>GEOMETRÍA</t>
  </si>
  <si>
    <t>PROPIEDADES MECÁNICAS</t>
  </si>
  <si>
    <t>[-]</t>
  </si>
  <si>
    <t>L/</t>
  </si>
  <si>
    <t>I ábaco</t>
  </si>
  <si>
    <t>A total</t>
  </si>
  <si>
    <t>I cabeza</t>
  </si>
  <si>
    <t>I nervio</t>
  </si>
  <si>
    <t>dg cabeza</t>
  </si>
  <si>
    <t>dg nervio</t>
  </si>
  <si>
    <t>L ábaco</t>
  </si>
  <si>
    <t>I sección T</t>
  </si>
  <si>
    <t>I aligerada</t>
  </si>
  <si>
    <t>I alig. pond.</t>
  </si>
  <si>
    <t>b-a</t>
  </si>
  <si>
    <t>γ</t>
  </si>
  <si>
    <t>[m3]</t>
  </si>
  <si>
    <t>MODELIZACIÓN</t>
  </si>
  <si>
    <t>Ábacos</t>
  </si>
  <si>
    <t>[S/N]</t>
  </si>
  <si>
    <t>incremento</t>
  </si>
  <si>
    <t>h eq alig. pond.</t>
  </si>
  <si>
    <t>ajuste</t>
  </si>
  <si>
    <t>h eq abaco+alig</t>
  </si>
  <si>
    <t>coef. abaco+alig</t>
  </si>
  <si>
    <t>h equivalente</t>
  </si>
  <si>
    <t>γ equivalente</t>
  </si>
  <si>
    <t>b nervio</t>
  </si>
  <si>
    <t>vuelo ábaco</t>
  </si>
  <si>
    <t>c (capa comp.)</t>
  </si>
  <si>
    <t>b (intereje)</t>
  </si>
  <si>
    <t>h sup</t>
  </si>
  <si>
    <t>h inf</t>
  </si>
  <si>
    <t>A sup</t>
  </si>
  <si>
    <t>A inf</t>
  </si>
  <si>
    <t>yg sup</t>
  </si>
  <si>
    <t>yg inf</t>
  </si>
  <si>
    <t>dg sup</t>
  </si>
  <si>
    <t>dg inf</t>
  </si>
  <si>
    <t>I sup</t>
  </si>
  <si>
    <t>I inf</t>
  </si>
  <si>
    <t>h eq alig.</t>
  </si>
  <si>
    <t>s (sep. conect.)</t>
  </si>
  <si>
    <t>b conectores</t>
  </si>
  <si>
    <t>h conector</t>
  </si>
  <si>
    <t>i (radio de giro)</t>
  </si>
  <si>
    <t>[m]</t>
  </si>
  <si>
    <t>E equivalente / E</t>
  </si>
  <si>
    <t>FORJADO ELESDOPA Y MURO SIMPLIFICADO</t>
  </si>
  <si>
    <t>MURO ELESDOPA AVANZADO</t>
  </si>
  <si>
    <t>PARÁMETROS EQUIVALENTES</t>
  </si>
  <si>
    <t>modelizados</t>
  </si>
  <si>
    <t>no modelizados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</si>
</sst>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1" fontId="3" fillId="0" borderId="0" xfId="0" applyNumberFormat="1" applyFont="1" applyFill="1"/>
    <xf numFmtId="164" fontId="3" fillId="0" borderId="0" xfId="0" applyNumberFormat="1" applyFont="1" applyFill="1" applyBorder="1"/>
    <xf numFmtId="2" fontId="3" fillId="0" borderId="0" xfId="0" applyNumberFormat="1" applyFont="1" applyFill="1"/>
    <xf numFmtId="2" fontId="3" fillId="0" borderId="0" xfId="0" applyNumberFormat="1" applyFont="1" applyFill="1" applyBorder="1"/>
    <xf numFmtId="164" fontId="3" fillId="0" borderId="0" xfId="0" applyNumberFormat="1" applyFont="1" applyFill="1"/>
    <xf numFmtId="165" fontId="3" fillId="0" borderId="0" xfId="0" applyNumberFormat="1" applyFont="1" applyFill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/>
    <xf numFmtId="2" fontId="3" fillId="2" borderId="0" xfId="0" applyNumberFormat="1" applyFont="1" applyFill="1"/>
    <xf numFmtId="0" fontId="4" fillId="0" borderId="0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11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1" fontId="6" fillId="0" borderId="0" xfId="0" applyNumberFormat="1" applyFont="1" applyFill="1"/>
    <xf numFmtId="0" fontId="7" fillId="0" borderId="0" xfId="0" applyFont="1" applyFill="1" applyBorder="1"/>
    <xf numFmtId="0" fontId="6" fillId="2" borderId="0" xfId="0" applyFont="1" applyFill="1" applyBorder="1"/>
    <xf numFmtId="164" fontId="6" fillId="2" borderId="0" xfId="0" applyNumberFormat="1" applyFont="1" applyFill="1" applyBorder="1"/>
    <xf numFmtId="0" fontId="6" fillId="2" borderId="0" xfId="0" applyFont="1" applyFill="1"/>
    <xf numFmtId="166" fontId="6" fillId="2" borderId="0" xfId="0" applyNumberFormat="1" applyFont="1" applyFill="1"/>
    <xf numFmtId="2" fontId="6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auxiliar!$A$17:$A$19</c:f>
              <c:numCache>
                <c:formatCode>0.00</c:formatCode>
                <c:ptCount val="3"/>
                <c:pt idx="0">
                  <c:v>8</c:v>
                </c:pt>
                <c:pt idx="1">
                  <c:v>5.333333333333333</c:v>
                </c:pt>
                <c:pt idx="2">
                  <c:v>4</c:v>
                </c:pt>
              </c:numCache>
            </c:numRef>
          </c:xVal>
          <c:yVal>
            <c:numRef>
              <c:f>auxiliar!$C$17:$C$19</c:f>
              <c:numCache>
                <c:formatCode>0.00</c:formatCode>
                <c:ptCount val="3"/>
                <c:pt idx="0">
                  <c:v>1.1111111111111112</c:v>
                </c:pt>
                <c:pt idx="1">
                  <c:v>1.144927536231884</c:v>
                </c:pt>
                <c:pt idx="2">
                  <c:v>1.1642512077294687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D2-4A5E-8C71-B22CDE6C5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869784"/>
        <c:axId val="338249800"/>
      </c:scatterChart>
      <c:valAx>
        <c:axId val="33886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8249800"/>
        <c:crosses val="autoZero"/>
        <c:crossBetween val="midCat"/>
      </c:valAx>
      <c:valAx>
        <c:axId val="33824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8869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auxiliar!$A$17:$A$19</c:f>
              <c:numCache>
                <c:formatCode>0.00</c:formatCode>
                <c:ptCount val="3"/>
                <c:pt idx="0">
                  <c:v>8</c:v>
                </c:pt>
                <c:pt idx="1">
                  <c:v>5.333333333333333</c:v>
                </c:pt>
                <c:pt idx="2">
                  <c:v>4</c:v>
                </c:pt>
              </c:numCache>
            </c:numRef>
          </c:xVal>
          <c:yVal>
            <c:numRef>
              <c:f>auxiliar!$P$17:$P$19</c:f>
              <c:numCache>
                <c:formatCode>0.00</c:formatCode>
                <c:ptCount val="3"/>
                <c:pt idx="0">
                  <c:v>1.0338345864661653</c:v>
                </c:pt>
                <c:pt idx="1">
                  <c:v>1.0451127819548873</c:v>
                </c:pt>
                <c:pt idx="2">
                  <c:v>1.0526315789473684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3F-47E2-A120-15C6D6E41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06120"/>
        <c:axId val="71608080"/>
      </c:scatterChart>
      <c:valAx>
        <c:axId val="7160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608080"/>
        <c:crosses val="autoZero"/>
        <c:crossBetween val="midCat"/>
      </c:valAx>
      <c:valAx>
        <c:axId val="7160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606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188230</xdr:colOff>
      <xdr:row>9</xdr:row>
      <xdr:rowOff>66883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2136" cy="152992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376518</xdr:colOff>
      <xdr:row>9</xdr:row>
      <xdr:rowOff>46437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5929" y="0"/>
          <a:ext cx="2043953" cy="1480790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</xdr:row>
      <xdr:rowOff>0</xdr:rowOff>
    </xdr:from>
    <xdr:to>
      <xdr:col>11</xdr:col>
      <xdr:colOff>277907</xdr:colOff>
      <xdr:row>9</xdr:row>
      <xdr:rowOff>49635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8425" y="0"/>
          <a:ext cx="1981200" cy="148398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4</xdr:col>
      <xdr:colOff>259210</xdr:colOff>
      <xdr:row>16</xdr:row>
      <xdr:rowOff>106055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5920"/>
          <a:ext cx="2819530" cy="120333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480060</xdr:colOff>
      <xdr:row>16</xdr:row>
      <xdr:rowOff>114705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3240" y="1645920"/>
          <a:ext cx="1524000" cy="121198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11</xdr:col>
      <xdr:colOff>398930</xdr:colOff>
      <xdr:row>17</xdr:row>
      <xdr:rowOff>34232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0894" y="1613647"/>
          <a:ext cx="2729753" cy="1289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4483</xdr:colOff>
      <xdr:row>5</xdr:row>
      <xdr:rowOff>129989</xdr:rowOff>
    </xdr:from>
    <xdr:to>
      <xdr:col>11</xdr:col>
      <xdr:colOff>183777</xdr:colOff>
      <xdr:row>21</xdr:row>
      <xdr:rowOff>147918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6</xdr:row>
      <xdr:rowOff>0</xdr:rowOff>
    </xdr:from>
    <xdr:to>
      <xdr:col>24</xdr:col>
      <xdr:colOff>179294</xdr:colOff>
      <xdr:row>22</xdr:row>
      <xdr:rowOff>17930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9:S53"/>
  <sheetViews>
    <sheetView tabSelected="1" zoomScaleNormal="100" workbookViewId="0">
      <selection activeCell="S30" sqref="S30"/>
    </sheetView>
  </sheetViews>
  <sheetFormatPr baseColWidth="10" defaultColWidth="9.140625" defaultRowHeight="15" x14ac:dyDescent="0.25"/>
  <cols>
    <col min="1" max="1" width="9.140625" style="4"/>
    <col min="2" max="2" width="15.7109375" style="4" customWidth="1"/>
    <col min="3" max="3" width="7.85546875" style="4" bestFit="1" customWidth="1"/>
    <col min="4" max="4" width="13.7109375" style="4" bestFit="1" customWidth="1"/>
    <col min="5" max="5" width="9.140625" style="4"/>
    <col min="6" max="6" width="15.28515625" style="4" customWidth="1"/>
    <col min="7" max="7" width="9.140625" style="4"/>
    <col min="8" max="8" width="13.7109375" style="4" bestFit="1" customWidth="1"/>
    <col min="9" max="9" width="9.140625" style="4"/>
    <col min="10" max="10" width="15.7109375" style="4" customWidth="1"/>
    <col min="11" max="15" width="9.140625" style="4"/>
    <col min="16" max="16" width="11.28515625" style="4" bestFit="1" customWidth="1"/>
    <col min="17" max="18" width="9.140625" style="4"/>
    <col min="19" max="19" width="11.28515625" style="4" bestFit="1" customWidth="1"/>
    <col min="20" max="16384" width="9.140625" style="4"/>
  </cols>
  <sheetData>
    <row r="19" spans="2:12" s="3" customFormat="1" x14ac:dyDescent="0.25">
      <c r="B19" s="3" t="s">
        <v>7</v>
      </c>
      <c r="F19" s="3" t="s">
        <v>63</v>
      </c>
      <c r="J19" s="30" t="s">
        <v>64</v>
      </c>
      <c r="K19" s="30"/>
      <c r="L19" s="30"/>
    </row>
    <row r="20" spans="2:12" x14ac:dyDescent="0.25">
      <c r="J20" s="31"/>
      <c r="K20" s="31"/>
      <c r="L20" s="31"/>
    </row>
    <row r="21" spans="2:12" x14ac:dyDescent="0.25">
      <c r="B21" s="4" t="s">
        <v>32</v>
      </c>
      <c r="F21" s="4" t="s">
        <v>32</v>
      </c>
      <c r="J21" s="31" t="s">
        <v>15</v>
      </c>
      <c r="K21" s="31"/>
      <c r="L21" s="31"/>
    </row>
    <row r="22" spans="2:12" x14ac:dyDescent="0.25">
      <c r="B22" s="17" t="s">
        <v>33</v>
      </c>
      <c r="C22" s="18" t="s">
        <v>34</v>
      </c>
      <c r="D22" s="19" t="s">
        <v>66</v>
      </c>
      <c r="F22" s="17" t="s">
        <v>33</v>
      </c>
      <c r="G22" s="18" t="s">
        <v>34</v>
      </c>
      <c r="H22" s="19" t="s">
        <v>66</v>
      </c>
      <c r="J22" s="32" t="s">
        <v>0</v>
      </c>
      <c r="K22" s="33" t="s">
        <v>9</v>
      </c>
      <c r="L22" s="34">
        <v>30</v>
      </c>
    </row>
    <row r="23" spans="2:12" x14ac:dyDescent="0.25">
      <c r="J23" s="35" t="s">
        <v>46</v>
      </c>
      <c r="K23" s="36" t="s">
        <v>9</v>
      </c>
      <c r="L23" s="37">
        <v>6</v>
      </c>
    </row>
    <row r="24" spans="2:12" x14ac:dyDescent="0.25">
      <c r="B24" s="4" t="s">
        <v>15</v>
      </c>
      <c r="F24" s="4" t="s">
        <v>15</v>
      </c>
      <c r="J24" s="35" t="s">
        <v>47</v>
      </c>
      <c r="K24" s="36" t="s">
        <v>9</v>
      </c>
      <c r="L24" s="37">
        <v>4</v>
      </c>
    </row>
    <row r="25" spans="2:12" x14ac:dyDescent="0.25">
      <c r="B25" s="20" t="s">
        <v>45</v>
      </c>
      <c r="C25" s="21" t="s">
        <v>9</v>
      </c>
      <c r="D25" s="22">
        <v>80</v>
      </c>
      <c r="F25" s="20" t="s">
        <v>0</v>
      </c>
      <c r="G25" s="21" t="s">
        <v>9</v>
      </c>
      <c r="H25" s="22">
        <v>30</v>
      </c>
      <c r="J25" s="35" t="s">
        <v>57</v>
      </c>
      <c r="K25" s="36" t="s">
        <v>9</v>
      </c>
      <c r="L25" s="37">
        <v>70</v>
      </c>
    </row>
    <row r="26" spans="2:12" x14ac:dyDescent="0.25">
      <c r="B26" s="23" t="s">
        <v>0</v>
      </c>
      <c r="C26" s="24" t="s">
        <v>9</v>
      </c>
      <c r="D26" s="25">
        <v>30</v>
      </c>
      <c r="F26" s="23" t="s">
        <v>46</v>
      </c>
      <c r="G26" s="24" t="s">
        <v>9</v>
      </c>
      <c r="H26" s="25">
        <v>5</v>
      </c>
      <c r="J26" s="38" t="s">
        <v>58</v>
      </c>
      <c r="K26" s="39" t="s">
        <v>9</v>
      </c>
      <c r="L26" s="40">
        <v>12</v>
      </c>
    </row>
    <row r="27" spans="2:12" x14ac:dyDescent="0.25">
      <c r="B27" s="23" t="s">
        <v>44</v>
      </c>
      <c r="C27" s="24" t="s">
        <v>9</v>
      </c>
      <c r="D27" s="25">
        <v>6</v>
      </c>
      <c r="F27" s="23" t="s">
        <v>47</v>
      </c>
      <c r="G27" s="24" t="s">
        <v>9</v>
      </c>
      <c r="H27" s="25">
        <v>5</v>
      </c>
      <c r="J27" s="31" t="s">
        <v>59</v>
      </c>
      <c r="K27" s="31" t="s">
        <v>9</v>
      </c>
      <c r="L27" s="41">
        <f>L22-L23-L24</f>
        <v>20</v>
      </c>
    </row>
    <row r="28" spans="2:12" x14ac:dyDescent="0.25">
      <c r="B28" s="23" t="s">
        <v>42</v>
      </c>
      <c r="C28" s="24" t="s">
        <v>9</v>
      </c>
      <c r="D28" s="25">
        <v>12</v>
      </c>
      <c r="F28" s="23" t="s">
        <v>57</v>
      </c>
      <c r="G28" s="24" t="s">
        <v>9</v>
      </c>
      <c r="H28" s="25">
        <v>45</v>
      </c>
      <c r="J28" s="31"/>
      <c r="K28" s="31"/>
      <c r="L28" s="31"/>
    </row>
    <row r="29" spans="2:12" x14ac:dyDescent="0.25">
      <c r="B29" s="26" t="s">
        <v>43</v>
      </c>
      <c r="C29" s="27" t="s">
        <v>18</v>
      </c>
      <c r="D29" s="28">
        <v>5</v>
      </c>
      <c r="F29" s="23" t="s">
        <v>58</v>
      </c>
      <c r="G29" s="24" t="s">
        <v>9</v>
      </c>
      <c r="H29" s="25">
        <v>12</v>
      </c>
      <c r="J29" s="31"/>
      <c r="K29" s="31"/>
      <c r="L29" s="31"/>
    </row>
    <row r="30" spans="2:12" x14ac:dyDescent="0.25">
      <c r="B30" s="4" t="s">
        <v>14</v>
      </c>
      <c r="C30" s="4" t="s">
        <v>9</v>
      </c>
      <c r="D30" s="6">
        <f>D26-D27</f>
        <v>24</v>
      </c>
      <c r="F30" s="26" t="s">
        <v>25</v>
      </c>
      <c r="G30" s="27" t="s">
        <v>18</v>
      </c>
      <c r="H30" s="28">
        <v>8.33</v>
      </c>
      <c r="J30" s="31"/>
      <c r="K30" s="31"/>
      <c r="L30" s="31"/>
    </row>
    <row r="31" spans="2:12" x14ac:dyDescent="0.25">
      <c r="B31" s="5" t="s">
        <v>29</v>
      </c>
      <c r="C31" s="4" t="s">
        <v>9</v>
      </c>
      <c r="D31" s="6">
        <f>D25-D28</f>
        <v>68</v>
      </c>
      <c r="F31" s="4" t="s">
        <v>59</v>
      </c>
      <c r="G31" s="4" t="s">
        <v>9</v>
      </c>
      <c r="H31" s="6">
        <f>H25-H26-H27</f>
        <v>20</v>
      </c>
      <c r="J31" s="31"/>
      <c r="K31" s="31"/>
      <c r="L31" s="31"/>
    </row>
    <row r="32" spans="2:12" x14ac:dyDescent="0.25">
      <c r="J32" s="31"/>
      <c r="K32" s="31"/>
      <c r="L32" s="31"/>
    </row>
    <row r="33" spans="2:19" x14ac:dyDescent="0.25">
      <c r="B33" s="16" t="s">
        <v>65</v>
      </c>
      <c r="F33" s="16" t="s">
        <v>65</v>
      </c>
      <c r="J33" s="42" t="s">
        <v>65</v>
      </c>
      <c r="K33" s="31"/>
      <c r="L33" s="31"/>
    </row>
    <row r="34" spans="2:19" x14ac:dyDescent="0.25">
      <c r="B34" s="12" t="str">
        <f>'cálculos intermedios'!A19</f>
        <v>h equivalente</v>
      </c>
      <c r="C34" s="12" t="str">
        <f>'cálculos intermedios'!B19</f>
        <v>[cm]</v>
      </c>
      <c r="D34" s="13">
        <f>'cálculos intermedios'!C19</f>
        <v>20.744766934253221</v>
      </c>
      <c r="F34" s="12" t="str">
        <f>'cálculos intermedios'!E17</f>
        <v>h equivalente</v>
      </c>
      <c r="G34" s="12" t="str">
        <f>'cálculos intermedios'!F17</f>
        <v>[cm]</v>
      </c>
      <c r="H34" s="13">
        <f>'cálculos intermedios'!G17</f>
        <v>26.684016487219445</v>
      </c>
      <c r="J34" s="43" t="str">
        <f>'cálculos intermedios'!I14</f>
        <v>h equivalente</v>
      </c>
      <c r="K34" s="43" t="str">
        <f>'cálculos intermedios'!J14</f>
        <v>[cm]</v>
      </c>
      <c r="L34" s="44">
        <f>'cálculos intermedios'!K14</f>
        <v>42.755116652863904</v>
      </c>
    </row>
    <row r="35" spans="2:19" x14ac:dyDescent="0.25">
      <c r="B35" s="14" t="str">
        <f>'cálculos intermedios'!A23</f>
        <v>γ equivalente</v>
      </c>
      <c r="C35" s="14" t="str">
        <f>'cálculos intermedios'!B23</f>
        <v>[kN/m3]</v>
      </c>
      <c r="D35" s="15">
        <f>'cálculos intermedios'!C23</f>
        <v>15.256859766276929</v>
      </c>
      <c r="F35" s="14" t="str">
        <f>'cálculos intermedios'!E21</f>
        <v>γ equivalente</v>
      </c>
      <c r="G35" s="14" t="str">
        <f>'cálculos intermedios'!F21</f>
        <v>[kN/m3]</v>
      </c>
      <c r="H35" s="15">
        <f>'cálculos intermedios'!G21</f>
        <v>8.0364380132636537</v>
      </c>
      <c r="J35" s="45" t="str">
        <f>'cálculos intermedios'!I15</f>
        <v>E equivalente / E</v>
      </c>
      <c r="K35" s="45" t="str">
        <f>'cálculos intermedios'!J15</f>
        <v>[-]</v>
      </c>
      <c r="L35" s="46">
        <f>'cálculos intermedios'!K15</f>
        <v>0.23389013486249396</v>
      </c>
    </row>
    <row r="36" spans="2:19" x14ac:dyDescent="0.25">
      <c r="J36" s="45" t="str">
        <f>'cálculos intermedios'!I19</f>
        <v>γ equivalente</v>
      </c>
      <c r="K36" s="45" t="str">
        <f>'cálculos intermedios'!J19</f>
        <v>[kN/m3]</v>
      </c>
      <c r="L36" s="47">
        <f>'cálculos intermedios'!K19</f>
        <v>5.5035780713562366</v>
      </c>
    </row>
    <row r="38" spans="2:19" s="5" customFormat="1" x14ac:dyDescent="0.25"/>
    <row r="39" spans="2:19" s="5" customFormat="1" x14ac:dyDescent="0.25"/>
    <row r="42" spans="2:19" x14ac:dyDescent="0.25">
      <c r="P42" s="29"/>
      <c r="S42" s="29"/>
    </row>
    <row r="43" spans="2:19" x14ac:dyDescent="0.25">
      <c r="P43" s="29"/>
      <c r="S43" s="29"/>
    </row>
    <row r="44" spans="2:19" x14ac:dyDescent="0.25">
      <c r="P44" s="29"/>
      <c r="S44" s="29"/>
    </row>
    <row r="53" spans="12:12" x14ac:dyDescent="0.25">
      <c r="L53" s="9"/>
    </row>
  </sheetData>
  <pageMargins left="0.75" right="0.75" top="1" bottom="1" header="0" footer="0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auxiliar!$A$1:$A$2</xm:f>
          </x14:formula1>
          <xm:sqref>D22 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zoomScale="85" zoomScaleNormal="85" workbookViewId="0">
      <selection activeCell="E25" sqref="E25"/>
    </sheetView>
  </sheetViews>
  <sheetFormatPr baseColWidth="10" defaultRowHeight="12.75" x14ac:dyDescent="0.2"/>
  <cols>
    <col min="1" max="1" width="23.85546875" bestFit="1" customWidth="1"/>
  </cols>
  <sheetData>
    <row r="1" spans="1:11" ht="15" x14ac:dyDescent="0.25">
      <c r="A1" s="4" t="s">
        <v>16</v>
      </c>
      <c r="B1" s="4"/>
      <c r="C1" s="4"/>
      <c r="E1" s="4" t="s">
        <v>16</v>
      </c>
      <c r="F1" s="4"/>
      <c r="G1" s="4"/>
      <c r="I1" s="4" t="s">
        <v>16</v>
      </c>
      <c r="J1" s="4"/>
      <c r="K1" s="4"/>
    </row>
    <row r="2" spans="1:11" ht="15" x14ac:dyDescent="0.25">
      <c r="A2" s="4" t="s">
        <v>5</v>
      </c>
      <c r="B2" s="4" t="s">
        <v>11</v>
      </c>
      <c r="C2" s="6">
        <f>Conversión!D25*Conversión!D27</f>
        <v>480</v>
      </c>
      <c r="E2" s="4" t="s">
        <v>48</v>
      </c>
      <c r="F2" s="4" t="s">
        <v>11</v>
      </c>
      <c r="G2" s="6">
        <f>100*Conversión!H26</f>
        <v>500</v>
      </c>
      <c r="I2" s="4" t="s">
        <v>48</v>
      </c>
      <c r="J2" s="4" t="s">
        <v>11</v>
      </c>
      <c r="K2" s="6">
        <f>100*Conversión!L23</f>
        <v>600</v>
      </c>
    </row>
    <row r="3" spans="1:11" ht="15" x14ac:dyDescent="0.25">
      <c r="A3" s="4" t="s">
        <v>6</v>
      </c>
      <c r="B3" s="4" t="s">
        <v>11</v>
      </c>
      <c r="C3" s="6">
        <f>Conversión!D28*Conversión!D30</f>
        <v>288</v>
      </c>
      <c r="E3" s="4" t="s">
        <v>49</v>
      </c>
      <c r="F3" s="4" t="s">
        <v>11</v>
      </c>
      <c r="G3" s="6">
        <f>100*Conversión!H27</f>
        <v>500</v>
      </c>
      <c r="I3" s="4" t="s">
        <v>49</v>
      </c>
      <c r="J3" s="4" t="s">
        <v>11</v>
      </c>
      <c r="K3" s="6">
        <f>100*Conversión!L24</f>
        <v>400</v>
      </c>
    </row>
    <row r="4" spans="1:11" ht="15" x14ac:dyDescent="0.25">
      <c r="A4" s="4" t="s">
        <v>20</v>
      </c>
      <c r="B4" s="4" t="s">
        <v>11</v>
      </c>
      <c r="C4" s="6">
        <f>C2+C3</f>
        <v>768</v>
      </c>
      <c r="E4" s="4" t="s">
        <v>20</v>
      </c>
      <c r="F4" s="4" t="s">
        <v>11</v>
      </c>
      <c r="G4" s="6">
        <f>G2+G3</f>
        <v>1000</v>
      </c>
      <c r="I4" s="4" t="s">
        <v>20</v>
      </c>
      <c r="J4" s="4" t="s">
        <v>11</v>
      </c>
      <c r="K4" s="6">
        <f>K2+K3</f>
        <v>1000</v>
      </c>
    </row>
    <row r="5" spans="1:11" ht="15" x14ac:dyDescent="0.25">
      <c r="A5" s="4" t="s">
        <v>3</v>
      </c>
      <c r="B5" s="4" t="s">
        <v>9</v>
      </c>
      <c r="C5" s="6">
        <f>Conversión!D27/2</f>
        <v>3</v>
      </c>
      <c r="E5" s="4" t="s">
        <v>50</v>
      </c>
      <c r="F5" s="4" t="s">
        <v>9</v>
      </c>
      <c r="G5" s="6">
        <f>Conversión!H26/2</f>
        <v>2.5</v>
      </c>
      <c r="I5" s="4" t="s">
        <v>50</v>
      </c>
      <c r="J5" s="4" t="s">
        <v>9</v>
      </c>
      <c r="K5" s="6">
        <f>Conversión!L23/2</f>
        <v>3</v>
      </c>
    </row>
    <row r="6" spans="1:11" ht="15" x14ac:dyDescent="0.25">
      <c r="A6" s="4" t="s">
        <v>4</v>
      </c>
      <c r="B6" s="4" t="s">
        <v>9</v>
      </c>
      <c r="C6" s="6">
        <f>Conversión!D27+Conversión!D30/2</f>
        <v>18</v>
      </c>
      <c r="E6" s="4" t="s">
        <v>51</v>
      </c>
      <c r="F6" s="4" t="s">
        <v>9</v>
      </c>
      <c r="G6" s="6">
        <f>Conversión!H25-Conversión!H27/2</f>
        <v>27.5</v>
      </c>
      <c r="I6" s="4" t="s">
        <v>51</v>
      </c>
      <c r="J6" s="4" t="s">
        <v>9</v>
      </c>
      <c r="K6" s="6">
        <f>Conversión!L22-Conversión!L24/2</f>
        <v>28</v>
      </c>
    </row>
    <row r="7" spans="1:11" ht="15" x14ac:dyDescent="0.25">
      <c r="A7" s="4" t="s">
        <v>1</v>
      </c>
      <c r="B7" s="4" t="s">
        <v>9</v>
      </c>
      <c r="C7" s="8">
        <f>(C2*C5+C3*C6)/C4</f>
        <v>8.625</v>
      </c>
      <c r="E7" s="4" t="s">
        <v>1</v>
      </c>
      <c r="F7" s="4" t="s">
        <v>9</v>
      </c>
      <c r="G7" s="8">
        <f>(G2*G5+G3*G6)/G4</f>
        <v>15</v>
      </c>
      <c r="I7" s="4" t="s">
        <v>1</v>
      </c>
      <c r="J7" s="4" t="s">
        <v>9</v>
      </c>
      <c r="K7" s="8">
        <f>(K2*K5+K3*K6)/K4</f>
        <v>13</v>
      </c>
    </row>
    <row r="8" spans="1:11" ht="15" x14ac:dyDescent="0.25">
      <c r="A8" s="4" t="s">
        <v>23</v>
      </c>
      <c r="B8" s="4" t="s">
        <v>9</v>
      </c>
      <c r="C8" s="8">
        <f>ABS(C5-C7)</f>
        <v>5.625</v>
      </c>
      <c r="E8" s="4" t="s">
        <v>52</v>
      </c>
      <c r="F8" s="4" t="s">
        <v>9</v>
      </c>
      <c r="G8" s="8">
        <f>ABS(G5-G7)</f>
        <v>12.5</v>
      </c>
      <c r="I8" s="4" t="s">
        <v>52</v>
      </c>
      <c r="J8" s="4" t="s">
        <v>9</v>
      </c>
      <c r="K8" s="8">
        <f>ABS(K5-K7)</f>
        <v>10</v>
      </c>
    </row>
    <row r="9" spans="1:11" ht="15" x14ac:dyDescent="0.25">
      <c r="A9" s="4" t="s">
        <v>24</v>
      </c>
      <c r="B9" s="4" t="s">
        <v>9</v>
      </c>
      <c r="C9" s="8">
        <f>ABS(C6-C7)</f>
        <v>9.375</v>
      </c>
      <c r="E9" s="4" t="s">
        <v>53</v>
      </c>
      <c r="F9" s="4" t="s">
        <v>9</v>
      </c>
      <c r="G9" s="8">
        <f>ABS(G6-G7)</f>
        <v>12.5</v>
      </c>
      <c r="I9" s="4" t="s">
        <v>53</v>
      </c>
      <c r="J9" s="4" t="s">
        <v>9</v>
      </c>
      <c r="K9" s="8">
        <f>ABS(K6-K7)</f>
        <v>15</v>
      </c>
    </row>
    <row r="10" spans="1:11" ht="15" x14ac:dyDescent="0.25">
      <c r="A10" s="4" t="s">
        <v>21</v>
      </c>
      <c r="B10" s="4" t="s">
        <v>10</v>
      </c>
      <c r="C10" s="6">
        <f>Conversión!D25*Conversión!D27^3/12</f>
        <v>1440</v>
      </c>
      <c r="E10" s="4" t="s">
        <v>54</v>
      </c>
      <c r="F10" s="4" t="s">
        <v>10</v>
      </c>
      <c r="G10" s="6">
        <f>100*Conversión!H26^3/12</f>
        <v>1041.6666666666667</v>
      </c>
      <c r="I10" s="4" t="s">
        <v>54</v>
      </c>
      <c r="J10" s="4" t="s">
        <v>10</v>
      </c>
      <c r="K10" s="6">
        <f>100*Conversión!L23^3/12</f>
        <v>1800</v>
      </c>
    </row>
    <row r="11" spans="1:11" ht="15" x14ac:dyDescent="0.25">
      <c r="A11" s="4" t="s">
        <v>22</v>
      </c>
      <c r="B11" s="4" t="s">
        <v>10</v>
      </c>
      <c r="C11" s="6">
        <f>Conversión!D28*Conversión!D30^3/12</f>
        <v>13824</v>
      </c>
      <c r="E11" s="4" t="s">
        <v>55</v>
      </c>
      <c r="F11" s="4" t="s">
        <v>10</v>
      </c>
      <c r="G11" s="6">
        <f>100*Conversión!H27^3/12</f>
        <v>1041.6666666666667</v>
      </c>
      <c r="I11" s="4" t="s">
        <v>55</v>
      </c>
      <c r="J11" s="4" t="s">
        <v>10</v>
      </c>
      <c r="K11" s="6">
        <f>100*Conversión!L24^3/12</f>
        <v>533.33333333333337</v>
      </c>
    </row>
    <row r="12" spans="1:11" ht="15" x14ac:dyDescent="0.25">
      <c r="A12" s="4" t="s">
        <v>26</v>
      </c>
      <c r="B12" s="4" t="s">
        <v>10</v>
      </c>
      <c r="C12" s="6">
        <f>C10+C11+C2*C8^2+C3*C9^2</f>
        <v>55764</v>
      </c>
      <c r="E12" s="4" t="s">
        <v>27</v>
      </c>
      <c r="F12" s="4" t="s">
        <v>10</v>
      </c>
      <c r="G12" s="6">
        <f>G10+G11+G2*G8^2+G3*G9^2</f>
        <v>158333.33333333331</v>
      </c>
      <c r="I12" s="4" t="s">
        <v>27</v>
      </c>
      <c r="J12" s="4" t="s">
        <v>10</v>
      </c>
      <c r="K12" s="6">
        <f>K10+K11+K2*K8^2+K3*K9^2</f>
        <v>152333.33333333334</v>
      </c>
    </row>
    <row r="13" spans="1:11" ht="15" x14ac:dyDescent="0.25">
      <c r="A13" s="4" t="s">
        <v>19</v>
      </c>
      <c r="B13" s="4" t="s">
        <v>10</v>
      </c>
      <c r="C13" s="6">
        <f>Conversión!D25*Conversión!D26^3/12</f>
        <v>180000</v>
      </c>
      <c r="E13" s="4" t="s">
        <v>19</v>
      </c>
      <c r="F13" s="4" t="s">
        <v>10</v>
      </c>
      <c r="G13" s="6">
        <f>100*Conversión!H25^3/12</f>
        <v>225000</v>
      </c>
      <c r="I13" s="4" t="s">
        <v>60</v>
      </c>
      <c r="J13" s="4" t="s">
        <v>61</v>
      </c>
      <c r="K13" s="9">
        <f>0.01*(K12/K4)^0.5</f>
        <v>0.12342339054382413</v>
      </c>
    </row>
    <row r="14" spans="1:11" ht="15" x14ac:dyDescent="0.25">
      <c r="A14" s="4" t="s">
        <v>28</v>
      </c>
      <c r="B14" s="4" t="s">
        <v>10</v>
      </c>
      <c r="C14" s="6">
        <f>(C12*Conversión!D31^2+C13*Conversión!D28^2)/(Conversión!D31^2+Conversión!D28^2)</f>
        <v>59516.093959731545</v>
      </c>
      <c r="E14" s="4" t="s">
        <v>56</v>
      </c>
      <c r="F14" s="4" t="s">
        <v>9</v>
      </c>
      <c r="G14" s="7">
        <f>(12*G12/100)^(1/3)</f>
        <v>26.684016487219445</v>
      </c>
      <c r="I14" s="4" t="s">
        <v>40</v>
      </c>
      <c r="J14" s="4" t="s">
        <v>9</v>
      </c>
      <c r="K14" s="10">
        <f>100*2*3^0.5*K13</f>
        <v>42.755116652863904</v>
      </c>
    </row>
    <row r="15" spans="1:11" ht="15" x14ac:dyDescent="0.25">
      <c r="A15" s="4" t="s">
        <v>35</v>
      </c>
      <c r="B15" s="4" t="s">
        <v>17</v>
      </c>
      <c r="C15" s="8">
        <f>C14/C12</f>
        <v>1.0672852370656973</v>
      </c>
      <c r="E15" s="4" t="s">
        <v>39</v>
      </c>
      <c r="F15" s="4" t="s">
        <v>17</v>
      </c>
      <c r="G15" s="8">
        <f>-0.0046*Conversión!H30+1.0706</f>
        <v>1.0322819999999999</v>
      </c>
      <c r="I15" s="4" t="s">
        <v>62</v>
      </c>
      <c r="J15" s="4" t="s">
        <v>17</v>
      </c>
      <c r="K15" s="8">
        <f>(K4/10000)/(K14/100)</f>
        <v>0.23389013486249396</v>
      </c>
    </row>
    <row r="16" spans="1:11" ht="15" x14ac:dyDescent="0.25">
      <c r="A16" s="4" t="s">
        <v>36</v>
      </c>
      <c r="B16" s="4" t="s">
        <v>9</v>
      </c>
      <c r="C16" s="7">
        <f>(12*C14/Conversión!D25)^(1/3)</f>
        <v>20.744766934253221</v>
      </c>
      <c r="E16" s="4" t="s">
        <v>38</v>
      </c>
      <c r="F16" s="4" t="s">
        <v>9</v>
      </c>
      <c r="G16" s="10">
        <f>G14*G15</f>
        <v>27.545429907459862</v>
      </c>
      <c r="I16" s="5" t="s">
        <v>30</v>
      </c>
      <c r="J16" s="4" t="s">
        <v>13</v>
      </c>
      <c r="K16" s="6">
        <v>25</v>
      </c>
    </row>
    <row r="17" spans="1:11" ht="15" x14ac:dyDescent="0.25">
      <c r="A17" s="4" t="s">
        <v>39</v>
      </c>
      <c r="B17" s="4" t="s">
        <v>17</v>
      </c>
      <c r="C17" s="8">
        <f>-0.0132*Conversión!D29+1.2164</f>
        <v>1.1503999999999999</v>
      </c>
      <c r="E17" s="4" t="s">
        <v>40</v>
      </c>
      <c r="F17" s="4" t="s">
        <v>9</v>
      </c>
      <c r="G17" s="10">
        <f>IF(Conversión!H22=auxiliar!A1,G14,G16)</f>
        <v>26.684016487219445</v>
      </c>
      <c r="I17" s="4" t="s">
        <v>8</v>
      </c>
      <c r="J17" s="4" t="s">
        <v>31</v>
      </c>
      <c r="K17" s="11">
        <f>(Conversión!L25^2*(Conversión!L23+Conversión!L24)-Conversión!L26^2*Conversión!L27)*0.000001</f>
        <v>4.6120000000000001E-2</v>
      </c>
    </row>
    <row r="18" spans="1:11" ht="15" x14ac:dyDescent="0.25">
      <c r="A18" s="4" t="s">
        <v>38</v>
      </c>
      <c r="B18" s="4" t="s">
        <v>9</v>
      </c>
      <c r="C18" s="10">
        <f>C16*C17</f>
        <v>23.864779881164903</v>
      </c>
      <c r="E18" s="5" t="s">
        <v>30</v>
      </c>
      <c r="F18" s="4" t="s">
        <v>13</v>
      </c>
      <c r="G18" s="6">
        <v>25</v>
      </c>
      <c r="I18" s="4" t="s">
        <v>2</v>
      </c>
      <c r="J18" s="4" t="s">
        <v>12</v>
      </c>
      <c r="K18" s="8">
        <f>K16/(Conversión!L25/100)^2*K17</f>
        <v>2.3530612244897964</v>
      </c>
    </row>
    <row r="19" spans="1:11" ht="15" x14ac:dyDescent="0.25">
      <c r="A19" s="4" t="s">
        <v>40</v>
      </c>
      <c r="B19" s="4" t="s">
        <v>9</v>
      </c>
      <c r="C19" s="10">
        <f>IF(Conversión!D22=auxiliar!A1,C16,C18)</f>
        <v>20.744766934253221</v>
      </c>
      <c r="E19" s="4" t="s">
        <v>8</v>
      </c>
      <c r="F19" s="4" t="s">
        <v>31</v>
      </c>
      <c r="G19" s="11">
        <f>(Conversión!H28^2*(Conversión!H26+Conversión!H27)-Conversión!H29^2*Conversión!H31)*0.000001</f>
        <v>1.737E-2</v>
      </c>
      <c r="I19" s="4" t="s">
        <v>41</v>
      </c>
      <c r="J19" s="4" t="s">
        <v>13</v>
      </c>
      <c r="K19" s="8">
        <f>K18/(K14/100)</f>
        <v>5.5035780713562366</v>
      </c>
    </row>
    <row r="20" spans="1:11" ht="15" x14ac:dyDescent="0.25">
      <c r="A20" s="5" t="s">
        <v>30</v>
      </c>
      <c r="B20" s="4" t="s">
        <v>13</v>
      </c>
      <c r="C20" s="6">
        <v>25</v>
      </c>
      <c r="E20" s="4" t="s">
        <v>2</v>
      </c>
      <c r="F20" s="4" t="s">
        <v>12</v>
      </c>
      <c r="G20" s="8">
        <f>G18/(Conversión!H28/100)^2*G19</f>
        <v>2.1444444444444444</v>
      </c>
    </row>
    <row r="21" spans="1:11" ht="15" x14ac:dyDescent="0.25">
      <c r="A21" s="4" t="s">
        <v>8</v>
      </c>
      <c r="B21" s="4" t="s">
        <v>31</v>
      </c>
      <c r="C21" s="11">
        <f>(Conversión!D25^2*Conversión!D26-Conversión!D31^2*Conversión!D30)*0.000001</f>
        <v>8.1023999999999999E-2</v>
      </c>
      <c r="E21" s="4" t="s">
        <v>41</v>
      </c>
      <c r="F21" s="4" t="s">
        <v>13</v>
      </c>
      <c r="G21" s="9">
        <f>100*G20/G17</f>
        <v>8.0364380132636537</v>
      </c>
    </row>
    <row r="22" spans="1:11" ht="15" x14ac:dyDescent="0.25">
      <c r="A22" s="4" t="s">
        <v>2</v>
      </c>
      <c r="B22" s="4" t="s">
        <v>12</v>
      </c>
      <c r="C22" s="8">
        <f>C20/(Conversión!D25/100)^2*C21</f>
        <v>3.1649999999999996</v>
      </c>
    </row>
    <row r="23" spans="1:11" ht="15" x14ac:dyDescent="0.25">
      <c r="A23" s="4" t="s">
        <v>41</v>
      </c>
      <c r="B23" s="4" t="s">
        <v>13</v>
      </c>
      <c r="C23" s="9">
        <f>100*C22/C19</f>
        <v>15.256859766276929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zoomScale="85" zoomScaleNormal="85" workbookViewId="0">
      <selection activeCell="A3" sqref="A3"/>
    </sheetView>
  </sheetViews>
  <sheetFormatPr baseColWidth="10" defaultColWidth="9.140625" defaultRowHeight="12.75" x14ac:dyDescent="0.2"/>
  <cols>
    <col min="1" max="16384" width="9.140625" style="1"/>
  </cols>
  <sheetData>
    <row r="1" spans="1:15" x14ac:dyDescent="0.2">
      <c r="A1" s="1" t="s">
        <v>66</v>
      </c>
    </row>
    <row r="2" spans="1:15" x14ac:dyDescent="0.2">
      <c r="A2" s="1" t="s">
        <v>67</v>
      </c>
    </row>
    <row r="16" spans="1:15" x14ac:dyDescent="0.2">
      <c r="A16" s="1" t="s">
        <v>37</v>
      </c>
      <c r="B16" s="1">
        <v>207</v>
      </c>
      <c r="N16" s="1" t="s">
        <v>37</v>
      </c>
      <c r="O16" s="1">
        <v>266</v>
      </c>
    </row>
    <row r="17" spans="1:16" x14ac:dyDescent="0.2">
      <c r="A17" s="2">
        <v>8</v>
      </c>
      <c r="B17" s="1">
        <v>230</v>
      </c>
      <c r="C17" s="2">
        <f>B17/$B$16</f>
        <v>1.1111111111111112</v>
      </c>
      <c r="N17" s="2">
        <v>8</v>
      </c>
      <c r="O17" s="1">
        <v>275</v>
      </c>
      <c r="P17" s="2">
        <f>O17/$O$16</f>
        <v>1.0338345864661653</v>
      </c>
    </row>
    <row r="18" spans="1:16" x14ac:dyDescent="0.2">
      <c r="A18" s="2">
        <f>16/3</f>
        <v>5.333333333333333</v>
      </c>
      <c r="B18" s="1">
        <v>237</v>
      </c>
      <c r="C18" s="2">
        <f t="shared" ref="C18:C19" si="0">B18/$B$16</f>
        <v>1.144927536231884</v>
      </c>
      <c r="N18" s="2">
        <f>16/3</f>
        <v>5.333333333333333</v>
      </c>
      <c r="O18" s="1">
        <v>278</v>
      </c>
      <c r="P18" s="2">
        <f t="shared" ref="P18:P19" si="1">O18/$O$16</f>
        <v>1.0451127819548873</v>
      </c>
    </row>
    <row r="19" spans="1:16" x14ac:dyDescent="0.2">
      <c r="A19" s="2">
        <v>4</v>
      </c>
      <c r="B19" s="1">
        <v>241</v>
      </c>
      <c r="C19" s="2">
        <f t="shared" si="0"/>
        <v>1.1642512077294687</v>
      </c>
      <c r="N19" s="2">
        <v>4</v>
      </c>
      <c r="O19" s="1">
        <v>280</v>
      </c>
      <c r="P19" s="2">
        <f t="shared" si="1"/>
        <v>1.0526315789473684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Conversión</vt:lpstr>
      <vt:lpstr>cálculos intermedios</vt:lpstr>
      <vt:lpstr>auxiliar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</cp:lastModifiedBy>
  <dcterms:created xsi:type="dcterms:W3CDTF">1996-11-27T10:00:04Z</dcterms:created>
  <dcterms:modified xsi:type="dcterms:W3CDTF">2022-02-07T18:58:56Z</dcterms:modified>
</cp:coreProperties>
</file>