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2C3C0873-DD4B-4649-ADB4-E980074B338D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Beams" sheetId="1" r:id="rId1"/>
    <sheet name="Columns" sheetId="6" r:id="rId2"/>
    <sheet name="dbL, hc" sheetId="7" r:id="rId3"/>
    <sheet name="aux" sheetId="5" r:id="rId4"/>
  </sheets>
  <calcPr calcId="181029"/>
</workbook>
</file>

<file path=xl/calcChain.xml><?xml version="1.0" encoding="utf-8"?>
<calcChain xmlns="http://schemas.openxmlformats.org/spreadsheetml/2006/main">
  <c r="B4" i="7" l="1"/>
  <c r="B5" i="7"/>
  <c r="B7" i="7"/>
  <c r="B12" i="7" s="1"/>
  <c r="B11" i="7" s="1"/>
  <c r="H13" i="6" l="1"/>
  <c r="H18" i="1" l="1"/>
  <c r="C10" i="1" l="1"/>
  <c r="N18" i="1" l="1"/>
  <c r="N20" i="1" l="1"/>
  <c r="N19" i="1"/>
  <c r="N17" i="1"/>
  <c r="N14" i="1"/>
  <c r="N11" i="1"/>
  <c r="N5" i="1"/>
  <c r="N16" i="1"/>
  <c r="N15" i="1"/>
  <c r="N13" i="1"/>
  <c r="N10" i="1"/>
  <c r="N7" i="1"/>
  <c r="N3" i="1"/>
  <c r="N12" i="1"/>
  <c r="N9" i="1"/>
  <c r="N8" i="1"/>
  <c r="N6" i="1"/>
  <c r="N4" i="1"/>
  <c r="N2" i="1"/>
  <c r="B30" i="1"/>
  <c r="B29" i="1"/>
  <c r="B32" i="1" s="1"/>
  <c r="B28" i="1"/>
  <c r="C23" i="1"/>
  <c r="C17" i="1"/>
  <c r="D9" i="1" s="1"/>
  <c r="B17" i="1"/>
  <c r="C16" i="1"/>
  <c r="B16" i="1"/>
  <c r="H12" i="1"/>
  <c r="I17" i="1" s="1"/>
  <c r="B12" i="1"/>
  <c r="C9" i="1"/>
  <c r="B6" i="1"/>
  <c r="H9" i="1" l="1"/>
  <c r="I19" i="1"/>
  <c r="I18" i="1"/>
  <c r="I7" i="1"/>
  <c r="H8" i="1"/>
  <c r="H6" i="1"/>
  <c r="H7" i="1"/>
  <c r="H11" i="1" l="1"/>
  <c r="I10" i="1" s="1"/>
  <c r="H10" i="1"/>
  <c r="J10" i="1" l="1"/>
  <c r="J11" i="1"/>
  <c r="I6" i="1"/>
  <c r="I11" i="1"/>
  <c r="H19" i="6" l="1"/>
  <c r="B7" i="6"/>
  <c r="B19" i="6" l="1"/>
  <c r="H14" i="6" s="1"/>
  <c r="B18" i="6"/>
  <c r="I9" i="6" l="1"/>
  <c r="H9" i="6"/>
  <c r="B6" i="6" l="1"/>
  <c r="C23" i="6"/>
  <c r="D14" i="6" l="1"/>
  <c r="C13" i="6"/>
  <c r="C14" i="6" s="1"/>
  <c r="G10" i="6" l="1"/>
  <c r="I7" i="6" l="1"/>
  <c r="H7" i="6"/>
  <c r="B31" i="6" l="1"/>
  <c r="H2" i="6"/>
  <c r="G5" i="6"/>
  <c r="G8" i="6" s="1"/>
  <c r="G15" i="6" l="1"/>
  <c r="G17" i="6" s="1"/>
  <c r="G7" i="6"/>
  <c r="B17" i="6" l="1"/>
  <c r="B16" i="6"/>
  <c r="B32" i="6" l="1"/>
  <c r="B34" i="6" s="1"/>
  <c r="I22" i="6" l="1"/>
  <c r="H22" i="6"/>
  <c r="G9" i="6"/>
  <c r="G16" i="6" l="1"/>
  <c r="G18" i="6" s="1"/>
  <c r="G19" i="6" s="1"/>
  <c r="G20" i="6" l="1"/>
  <c r="G21" i="6" s="1"/>
  <c r="G22" i="6" s="1"/>
</calcChain>
</file>

<file path=xl/sharedStrings.xml><?xml version="1.0" encoding="utf-8"?>
<sst xmlns="http://schemas.openxmlformats.org/spreadsheetml/2006/main" count="192" uniqueCount="148">
  <si>
    <t>fyk [N/mm2]</t>
  </si>
  <si>
    <t>ϒy</t>
  </si>
  <si>
    <t>fyd [N/mm2]</t>
  </si>
  <si>
    <t>n</t>
  </si>
  <si>
    <t>d [mm]</t>
  </si>
  <si>
    <t>ρsup</t>
  </si>
  <si>
    <t>ρinf</t>
  </si>
  <si>
    <t>d' [mm]</t>
  </si>
  <si>
    <t>bmin [mm]</t>
  </si>
  <si>
    <t>s [mm]</t>
  </si>
  <si>
    <t>interior</t>
  </si>
  <si>
    <t>INVERSIÓN</t>
  </si>
  <si>
    <t>bmax [mm]</t>
  </si>
  <si>
    <t>e [mm]</t>
  </si>
  <si>
    <t>vuelo [mm]</t>
  </si>
  <si>
    <t>vuelo max [mm]</t>
  </si>
  <si>
    <t>e max [mm]</t>
  </si>
  <si>
    <t xml:space="preserve">ρ </t>
  </si>
  <si>
    <t>ϒc</t>
  </si>
  <si>
    <t>fck [N/mm2]</t>
  </si>
  <si>
    <t>nmin</t>
  </si>
  <si>
    <t>r [mm]</t>
  </si>
  <si>
    <t>Φh,min [mm]</t>
  </si>
  <si>
    <t>s,max [mm]</t>
  </si>
  <si>
    <t>hy [mm]</t>
  </si>
  <si>
    <t>hz [mm]</t>
  </si>
  <si>
    <t>dy [mm]</t>
  </si>
  <si>
    <t>dz [mm]</t>
  </si>
  <si>
    <t>ny,sim</t>
  </si>
  <si>
    <t>ny,nosim</t>
  </si>
  <si>
    <t>nz</t>
  </si>
  <si>
    <t>dist,y [mm]</t>
  </si>
  <si>
    <t>dist,z [mm]</t>
  </si>
  <si>
    <t>ramy,min</t>
  </si>
  <si>
    <t>ramz,min</t>
  </si>
  <si>
    <t>DIÁMETROS</t>
  </si>
  <si>
    <t>base, sup</t>
  </si>
  <si>
    <t>base, inf</t>
  </si>
  <si>
    <t>ref, sup</t>
  </si>
  <si>
    <t>ref, inf</t>
  </si>
  <si>
    <t>rectangular</t>
  </si>
  <si>
    <t>circular</t>
  </si>
  <si>
    <t>Ey [N/mm2]</t>
  </si>
  <si>
    <t>no</t>
  </si>
  <si>
    <t>alfa</t>
  </si>
  <si>
    <t>α</t>
  </si>
  <si>
    <t>αfcd [N/mm2]</t>
  </si>
  <si>
    <t>hmin [mm]</t>
  </si>
  <si>
    <t>(sobre h=hz)</t>
  </si>
  <si>
    <t>(sobre b=hy)</t>
  </si>
  <si>
    <t>ρ,min</t>
  </si>
  <si>
    <t>ductility class</t>
  </si>
  <si>
    <t>SEISMIC DESIGN PARAMETERS</t>
  </si>
  <si>
    <t>DC</t>
  </si>
  <si>
    <t>H</t>
  </si>
  <si>
    <t>M</t>
  </si>
  <si>
    <t>fck,min [N/mm2]</t>
  </si>
  <si>
    <t>bc [mm]</t>
  </si>
  <si>
    <t>bw [mm]</t>
  </si>
  <si>
    <t>frame</t>
  </si>
  <si>
    <t>edge</t>
  </si>
  <si>
    <t>L [m]</t>
  </si>
  <si>
    <t>T [s]</t>
  </si>
  <si>
    <t>Tc [s]</t>
  </si>
  <si>
    <t>μϕ</t>
  </si>
  <si>
    <t>q0</t>
  </si>
  <si>
    <t>yes</t>
  </si>
  <si>
    <t>ρbase,sup</t>
  </si>
  <si>
    <t>ρbase,inf</t>
  </si>
  <si>
    <t>Δρsup</t>
  </si>
  <si>
    <t>Δρinf</t>
  </si>
  <si>
    <t>ρbase,min,inf</t>
  </si>
  <si>
    <t>ρbase,min,sup</t>
  </si>
  <si>
    <t>fctm [N/mm2]</t>
  </si>
  <si>
    <t>ρmin</t>
  </si>
  <si>
    <t>ρmax</t>
  </si>
  <si>
    <t>εsy,d</t>
  </si>
  <si>
    <t>fcd(α) [N/mm2]</t>
  </si>
  <si>
    <t>dbw (Φ) [mm]</t>
  </si>
  <si>
    <t>dbw,min (Φ) [mm]</t>
  </si>
  <si>
    <t>dbL (Φmin) [mm]</t>
  </si>
  <si>
    <t>GEOMETRY</t>
  </si>
  <si>
    <t>inversion</t>
  </si>
  <si>
    <t>MATERIALS</t>
  </si>
  <si>
    <t>BENDING REINFORCEMENT</t>
  </si>
  <si>
    <t>type</t>
  </si>
  <si>
    <t>FLEXURAL REINFORCEMENT</t>
  </si>
  <si>
    <t>HOOPS</t>
  </si>
  <si>
    <t>FORCES</t>
  </si>
  <si>
    <t>νd</t>
  </si>
  <si>
    <t>Nd [kN]</t>
  </si>
  <si>
    <t>ρ,max</t>
  </si>
  <si>
    <t>FRAME</t>
  </si>
  <si>
    <t>SYMMETRY</t>
  </si>
  <si>
    <t>symmetry</t>
  </si>
  <si>
    <t>COLUMN TYPE</t>
  </si>
  <si>
    <t>(EC2)</t>
  </si>
  <si>
    <t>dist,max [mm]</t>
  </si>
  <si>
    <t>h0y [mm]</t>
  </si>
  <si>
    <t>h0z [mm]</t>
  </si>
  <si>
    <t>Σbi2</t>
  </si>
  <si>
    <t>ρwz0</t>
  </si>
  <si>
    <t>ρwy0</t>
  </si>
  <si>
    <t>ωwd</t>
  </si>
  <si>
    <t>ωwd,min</t>
  </si>
  <si>
    <t>situation</t>
  </si>
  <si>
    <t>SITUATION</t>
  </si>
  <si>
    <t>base</t>
  </si>
  <si>
    <t>upper</t>
  </si>
  <si>
    <t>μϕ*</t>
  </si>
  <si>
    <t>α·ωwd</t>
  </si>
  <si>
    <t>α·ωwd,min,y</t>
  </si>
  <si>
    <t>α·ωwd,min,z</t>
  </si>
  <si>
    <t>1f12</t>
  </si>
  <si>
    <t>1f16</t>
  </si>
  <si>
    <t>2f12</t>
  </si>
  <si>
    <t>3f12</t>
  </si>
  <si>
    <t>2f16</t>
  </si>
  <si>
    <t>4f12</t>
  </si>
  <si>
    <t>5f12</t>
  </si>
  <si>
    <t>6f12</t>
  </si>
  <si>
    <t>3f16</t>
  </si>
  <si>
    <t>4f16</t>
  </si>
  <si>
    <t>5f16</t>
  </si>
  <si>
    <t>6f16</t>
  </si>
  <si>
    <t>1f20</t>
  </si>
  <si>
    <t>2f20</t>
  </si>
  <si>
    <t>3f20</t>
  </si>
  <si>
    <t>4f20</t>
  </si>
  <si>
    <t>5f20</t>
  </si>
  <si>
    <t>6f20</t>
  </si>
  <si>
    <t>A bar groups [mm2]</t>
  </si>
  <si>
    <t>7f16</t>
  </si>
  <si>
    <t>hmax [mm]</t>
  </si>
  <si>
    <t>st [mm]</t>
  </si>
  <si>
    <t>hb [mm]</t>
  </si>
  <si>
    <t>νdmax</t>
  </si>
  <si>
    <t>smax [mm]</t>
  </si>
  <si>
    <t>st,max [mm] (EC2)</t>
  </si>
  <si>
    <t>st,max [mm] (EHE-08)</t>
  </si>
  <si>
    <t>hc,min [mm]</t>
  </si>
  <si>
    <t>hc,min/dbL</t>
  </si>
  <si>
    <t>ρ'/ρmax</t>
  </si>
  <si>
    <t>γRd</t>
  </si>
  <si>
    <t>kD</t>
  </si>
  <si>
    <t>I</t>
  </si>
  <si>
    <t>dbL [mm]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</si>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</sst>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2" xfId="0" applyNumberFormat="1" applyBorder="1"/>
    <xf numFmtId="2" fontId="0" fillId="0" borderId="3" xfId="0" applyNumberFormat="1" applyBorder="1"/>
    <xf numFmtId="166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/>
    <xf numFmtId="1" fontId="0" fillId="2" borderId="0" xfId="0" applyNumberFormat="1" applyFill="1"/>
  </cellXfs>
  <cellStyles count="1">
    <cellStyle name="Normal" xfId="0" builtinId="0"/>
  </cellStyles>
  <dxfs count="6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85" zoomScaleNormal="85" workbookViewId="0">
      <selection activeCell="G31" sqref="G31"/>
    </sheetView>
  </sheetViews>
  <sheetFormatPr baseColWidth="10" defaultColWidth="9.140625" defaultRowHeight="15" x14ac:dyDescent="0.25"/>
  <cols>
    <col min="1" max="1" width="16.7109375" customWidth="1"/>
    <col min="3" max="3" width="10.85546875" bestFit="1" customWidth="1"/>
    <col min="7" max="7" width="17.42578125" customWidth="1"/>
    <col min="8" max="8" width="11" customWidth="1"/>
    <col min="9" max="9" width="10.140625" customWidth="1"/>
    <col min="10" max="10" width="9.7109375" customWidth="1"/>
    <col min="11" max="11" width="9.5703125" bestFit="1" customWidth="1"/>
    <col min="14" max="14" width="10.7109375" customWidth="1"/>
  </cols>
  <sheetData>
    <row r="1" spans="1:14" x14ac:dyDescent="0.25">
      <c r="A1" t="s">
        <v>52</v>
      </c>
      <c r="G1" t="s">
        <v>84</v>
      </c>
      <c r="M1" t="s">
        <v>131</v>
      </c>
    </row>
    <row r="2" spans="1:14" x14ac:dyDescent="0.25">
      <c r="A2" t="s">
        <v>51</v>
      </c>
      <c r="B2" s="3" t="s">
        <v>54</v>
      </c>
      <c r="G2" t="s">
        <v>36</v>
      </c>
      <c r="H2" s="13">
        <v>5</v>
      </c>
      <c r="I2" s="10">
        <v>12</v>
      </c>
      <c r="J2" s="9"/>
      <c r="K2" s="2"/>
      <c r="M2" t="s">
        <v>113</v>
      </c>
      <c r="N2" s="22">
        <f>PI()/4*(1*12^2)</f>
        <v>113.09733552923255</v>
      </c>
    </row>
    <row r="3" spans="1:14" x14ac:dyDescent="0.25">
      <c r="A3" t="s">
        <v>65</v>
      </c>
      <c r="B3" s="4">
        <v>5.85</v>
      </c>
      <c r="G3" t="s">
        <v>37</v>
      </c>
      <c r="H3" s="14">
        <v>5</v>
      </c>
      <c r="I3" s="11">
        <v>12</v>
      </c>
      <c r="J3" s="9"/>
      <c r="L3" s="7"/>
      <c r="M3" t="s">
        <v>114</v>
      </c>
      <c r="N3" s="22">
        <f>PI()/4*(1*16^2)</f>
        <v>201.06192982974676</v>
      </c>
    </row>
    <row r="4" spans="1:14" x14ac:dyDescent="0.25">
      <c r="A4" t="s">
        <v>63</v>
      </c>
      <c r="B4" s="16">
        <v>0.64</v>
      </c>
      <c r="G4" t="s">
        <v>38</v>
      </c>
      <c r="H4" s="14">
        <v>2</v>
      </c>
      <c r="I4" s="11">
        <v>12</v>
      </c>
      <c r="M4" t="s">
        <v>115</v>
      </c>
      <c r="N4" s="22">
        <f>PI()/4*(2*12^2)</f>
        <v>226.1946710584651</v>
      </c>
    </row>
    <row r="5" spans="1:14" x14ac:dyDescent="0.25">
      <c r="A5" t="s">
        <v>62</v>
      </c>
      <c r="B5" s="17">
        <v>0.9</v>
      </c>
      <c r="G5" t="s">
        <v>39</v>
      </c>
      <c r="H5" s="15">
        <v>0</v>
      </c>
      <c r="I5" s="12">
        <v>12</v>
      </c>
      <c r="M5" t="s">
        <v>125</v>
      </c>
      <c r="N5" s="22">
        <f>PI()/4*(1*20^2)</f>
        <v>314.15926535897933</v>
      </c>
    </row>
    <row r="6" spans="1:14" x14ac:dyDescent="0.25">
      <c r="A6" s="1" t="s">
        <v>64</v>
      </c>
      <c r="B6">
        <f>IF(B5&lt;B4,1+2*(B3-1)*B4/B5,2*B3-1)</f>
        <v>10.7</v>
      </c>
      <c r="G6" t="s">
        <v>67</v>
      </c>
      <c r="H6" s="18">
        <f>PI()/4*H2*I2^2/($B$9*$B$12)</f>
        <v>2.9929431440995171E-3</v>
      </c>
      <c r="I6" s="18">
        <f>MAX(0.5*B30/B24,IF(B2=aux!A2,MAX(PI()/4*2*14^2/(B9*B12),H10/4),0))</f>
        <v>2.5649639200150441E-3</v>
      </c>
      <c r="J6" t="s">
        <v>72</v>
      </c>
      <c r="M6" t="s">
        <v>116</v>
      </c>
      <c r="N6" s="22">
        <f>PI()/4*(3*12^2)</f>
        <v>339.29200658769764</v>
      </c>
    </row>
    <row r="7" spans="1:14" x14ac:dyDescent="0.25">
      <c r="G7" t="s">
        <v>68</v>
      </c>
      <c r="H7" s="18">
        <f>PI()/4*H3*I3^2/($B$9*$B$12)</f>
        <v>2.9929431440995171E-3</v>
      </c>
      <c r="I7" s="18">
        <f>MAX(0.5*B30/B24,IF(B2=aux!A2,PI()/4*2*14^2/(B9*B12),0))</f>
        <v>2.5649639200150441E-3</v>
      </c>
      <c r="J7" t="s">
        <v>71</v>
      </c>
      <c r="L7" s="7"/>
      <c r="M7" t="s">
        <v>117</v>
      </c>
      <c r="N7" s="22">
        <f>PI()/4*(2*16^2)</f>
        <v>402.12385965949352</v>
      </c>
    </row>
    <row r="8" spans="1:14" x14ac:dyDescent="0.25">
      <c r="A8" t="s">
        <v>81</v>
      </c>
      <c r="C8" t="s">
        <v>8</v>
      </c>
      <c r="D8" t="s">
        <v>12</v>
      </c>
      <c r="G8" t="s">
        <v>69</v>
      </c>
      <c r="H8" s="18">
        <f>PI()/4*H4*I4^2/($B$9*$B$12)</f>
        <v>1.1971772576398068E-3</v>
      </c>
      <c r="M8" t="s">
        <v>118</v>
      </c>
      <c r="N8" s="22">
        <f>PI()/4*(4*12^2)</f>
        <v>452.38934211693021</v>
      </c>
    </row>
    <row r="9" spans="1:14" x14ac:dyDescent="0.25">
      <c r="A9" t="s">
        <v>58</v>
      </c>
      <c r="B9" s="3">
        <v>705</v>
      </c>
      <c r="C9">
        <f>IF(B2=aux!A2,200,0)</f>
        <v>200</v>
      </c>
      <c r="D9">
        <f>IF(B14=aux!B2,B13+2*C17,B13+C17)</f>
        <v>705</v>
      </c>
      <c r="G9" t="s">
        <v>70</v>
      </c>
      <c r="H9" s="18">
        <f>PI()/4*H5*I5^2/($B$9*$B$12)</f>
        <v>0</v>
      </c>
      <c r="I9" t="s">
        <v>74</v>
      </c>
      <c r="J9" t="s">
        <v>75</v>
      </c>
      <c r="M9" t="s">
        <v>119</v>
      </c>
      <c r="N9" s="22">
        <f>PI()/4*(5*12^2)</f>
        <v>565.48667764616278</v>
      </c>
    </row>
    <row r="10" spans="1:14" x14ac:dyDescent="0.25">
      <c r="A10" t="s">
        <v>135</v>
      </c>
      <c r="B10" s="4">
        <v>300</v>
      </c>
      <c r="C10">
        <f>MIN(3.5*B9,70^3*B9^4/(B15*1000)^3)</f>
        <v>2467.5</v>
      </c>
      <c r="D10" t="s">
        <v>133</v>
      </c>
      <c r="G10" s="1" t="s">
        <v>5</v>
      </c>
      <c r="H10" s="18">
        <f>H6+H8</f>
        <v>4.1901204017393244E-3</v>
      </c>
      <c r="I10" s="18">
        <f>IF(B20=aux!C2,H11/2,0)</f>
        <v>1.4964715720497586E-3</v>
      </c>
      <c r="J10" s="18">
        <f>H11+0.0018*B28/(B6*B32*B29)</f>
        <v>6.107616041295779E-3</v>
      </c>
      <c r="M10" t="s">
        <v>121</v>
      </c>
      <c r="N10" s="22">
        <f>PI()/4*(3*16^2)</f>
        <v>603.18578948924028</v>
      </c>
    </row>
    <row r="11" spans="1:14" x14ac:dyDescent="0.25">
      <c r="A11" t="s">
        <v>7</v>
      </c>
      <c r="B11" s="5">
        <v>32</v>
      </c>
      <c r="G11" s="1" t="s">
        <v>6</v>
      </c>
      <c r="H11" s="18">
        <f>H7+H9</f>
        <v>2.9929431440995171E-3</v>
      </c>
      <c r="I11" s="18">
        <f>H10/2</f>
        <v>2.0950602008696622E-3</v>
      </c>
      <c r="J11" s="18">
        <f>IF(B20=aux!C2,H10+0.0018*B28/(B6*B32*B29),1)</f>
        <v>7.3047932989355859E-3</v>
      </c>
      <c r="M11" t="s">
        <v>126</v>
      </c>
      <c r="N11" s="22">
        <f>PI()/4*(2*20^2)</f>
        <v>628.31853071795865</v>
      </c>
    </row>
    <row r="12" spans="1:14" x14ac:dyDescent="0.25">
      <c r="A12" t="s">
        <v>4</v>
      </c>
      <c r="B12">
        <f>B10-B11</f>
        <v>268</v>
      </c>
      <c r="G12" s="1" t="s">
        <v>80</v>
      </c>
      <c r="H12">
        <f>MIN(I2:I5)</f>
        <v>12</v>
      </c>
      <c r="M12" t="s">
        <v>120</v>
      </c>
      <c r="N12" s="22">
        <f>PI()/4*(6*12^2)</f>
        <v>678.58401317539528</v>
      </c>
    </row>
    <row r="13" spans="1:14" x14ac:dyDescent="0.25">
      <c r="A13" t="s">
        <v>57</v>
      </c>
      <c r="B13" s="3">
        <v>405</v>
      </c>
      <c r="M13" t="s">
        <v>122</v>
      </c>
      <c r="N13" s="22">
        <f>PI()/4*(4*16^2)</f>
        <v>804.24771931898704</v>
      </c>
    </row>
    <row r="14" spans="1:14" x14ac:dyDescent="0.25">
      <c r="A14" t="s">
        <v>59</v>
      </c>
      <c r="B14" s="4" t="s">
        <v>10</v>
      </c>
      <c r="G14" t="s">
        <v>87</v>
      </c>
      <c r="M14" t="s">
        <v>127</v>
      </c>
      <c r="N14" s="22">
        <f>PI()/4*(3*20^2)</f>
        <v>942.47779607693792</v>
      </c>
    </row>
    <row r="15" spans="1:14" x14ac:dyDescent="0.25">
      <c r="A15" t="s">
        <v>61</v>
      </c>
      <c r="B15" s="5">
        <v>4.8</v>
      </c>
      <c r="G15" t="s">
        <v>3</v>
      </c>
      <c r="H15" s="3">
        <v>5</v>
      </c>
      <c r="M15" t="s">
        <v>123</v>
      </c>
      <c r="N15" s="22">
        <f>PI()/4*(5*16^2)</f>
        <v>1005.3096491487338</v>
      </c>
    </row>
    <row r="16" spans="1:14" x14ac:dyDescent="0.25">
      <c r="A16" t="s">
        <v>13</v>
      </c>
      <c r="B16">
        <f>ABS(IF(B14=aux!B3,(B9-B13)/2,0))</f>
        <v>0</v>
      </c>
      <c r="C16">
        <f>B13/4</f>
        <v>101.25</v>
      </c>
      <c r="D16" t="s">
        <v>16</v>
      </c>
      <c r="G16" s="1" t="s">
        <v>78</v>
      </c>
      <c r="H16" s="4">
        <v>8</v>
      </c>
      <c r="I16">
        <v>6</v>
      </c>
      <c r="J16" s="1" t="s">
        <v>79</v>
      </c>
      <c r="M16" t="s">
        <v>124</v>
      </c>
      <c r="N16" s="22">
        <f>PI()/4*(6*16^2)</f>
        <v>1206.3715789784806</v>
      </c>
    </row>
    <row r="17" spans="1:14" x14ac:dyDescent="0.25">
      <c r="A17" t="s">
        <v>14</v>
      </c>
      <c r="B17">
        <f>IF(B14=aux!B3,B9-B13,(B9-B13)/2)</f>
        <v>150</v>
      </c>
      <c r="C17">
        <f>MIN(B10,B13)/2</f>
        <v>150</v>
      </c>
      <c r="D17" t="s">
        <v>15</v>
      </c>
      <c r="G17" s="1" t="s">
        <v>9</v>
      </c>
      <c r="H17" s="5">
        <v>70</v>
      </c>
      <c r="I17">
        <f>MIN(B10/4,24*H16,IF(B2=aux!A2,175,225),IF(B2=aux!A2,6,8)*H12)</f>
        <v>72</v>
      </c>
      <c r="J17" s="1" t="s">
        <v>137</v>
      </c>
      <c r="M17" t="s">
        <v>128</v>
      </c>
      <c r="N17" s="22">
        <f>PI()/4*(4*20^2)</f>
        <v>1256.6370614359173</v>
      </c>
    </row>
    <row r="18" spans="1:14" x14ac:dyDescent="0.25">
      <c r="G18" s="1" t="s">
        <v>134</v>
      </c>
      <c r="H18" s="9">
        <f>(B9-2*B11)/(H15-1)</f>
        <v>160.25</v>
      </c>
      <c r="I18">
        <f>MIN(0.75*B12,600)</f>
        <v>201</v>
      </c>
      <c r="J18" s="1" t="s">
        <v>138</v>
      </c>
      <c r="M18" t="s">
        <v>132</v>
      </c>
      <c r="N18" s="22">
        <f>PI()/4*(7*16^2)</f>
        <v>1407.4335088082273</v>
      </c>
    </row>
    <row r="19" spans="1:14" x14ac:dyDescent="0.25">
      <c r="A19" t="s">
        <v>88</v>
      </c>
      <c r="I19">
        <f>MIN(B12,500)</f>
        <v>268</v>
      </c>
      <c r="J19" s="1" t="s">
        <v>139</v>
      </c>
      <c r="M19" t="s">
        <v>129</v>
      </c>
      <c r="N19" s="22">
        <f>PI()/4*(5*20^2)</f>
        <v>1570.7963267948965</v>
      </c>
    </row>
    <row r="20" spans="1:14" x14ac:dyDescent="0.25">
      <c r="A20" t="s">
        <v>82</v>
      </c>
      <c r="B20" s="6" t="s">
        <v>66</v>
      </c>
      <c r="I20" s="9"/>
      <c r="M20" t="s">
        <v>130</v>
      </c>
      <c r="N20" s="22">
        <f>PI()/4*(6*20^2)</f>
        <v>1884.9555921538758</v>
      </c>
    </row>
    <row r="22" spans="1:14" x14ac:dyDescent="0.25">
      <c r="A22" t="s">
        <v>83</v>
      </c>
    </row>
    <row r="23" spans="1:14" x14ac:dyDescent="0.25">
      <c r="A23" t="s">
        <v>19</v>
      </c>
      <c r="B23" s="3">
        <v>25</v>
      </c>
      <c r="C23">
        <f>IF(B2=aux!A3,16,20)</f>
        <v>20</v>
      </c>
      <c r="D23" t="s">
        <v>56</v>
      </c>
    </row>
    <row r="24" spans="1:14" x14ac:dyDescent="0.25">
      <c r="A24" t="s">
        <v>0</v>
      </c>
      <c r="B24" s="4">
        <v>500</v>
      </c>
    </row>
    <row r="25" spans="1:14" x14ac:dyDescent="0.25">
      <c r="A25" s="1" t="s">
        <v>18</v>
      </c>
      <c r="B25" s="4">
        <v>1.5</v>
      </c>
    </row>
    <row r="26" spans="1:14" x14ac:dyDescent="0.25">
      <c r="A26" s="1" t="s">
        <v>1</v>
      </c>
      <c r="B26" s="4">
        <v>1.1499999999999999</v>
      </c>
    </row>
    <row r="27" spans="1:14" x14ac:dyDescent="0.25">
      <c r="A27" s="1" t="s">
        <v>45</v>
      </c>
      <c r="B27" s="5">
        <v>1</v>
      </c>
    </row>
    <row r="28" spans="1:14" x14ac:dyDescent="0.25">
      <c r="A28" t="s">
        <v>77</v>
      </c>
      <c r="B28" s="2">
        <f>B23/B25*B27</f>
        <v>16.666666666666668</v>
      </c>
    </row>
    <row r="29" spans="1:14" x14ac:dyDescent="0.25">
      <c r="A29" s="1" t="s">
        <v>2</v>
      </c>
      <c r="B29" s="2">
        <f>B24/B26</f>
        <v>434.78260869565219</v>
      </c>
    </row>
    <row r="30" spans="1:14" x14ac:dyDescent="0.25">
      <c r="A30" s="1" t="s">
        <v>73</v>
      </c>
      <c r="B30" s="19">
        <f>IF(B23&lt;50,0.3*B23^(2/3),2.12*LN(1+(B23+8)/10))</f>
        <v>2.5649639200150443</v>
      </c>
      <c r="C30" t="s">
        <v>96</v>
      </c>
    </row>
    <row r="31" spans="1:14" x14ac:dyDescent="0.25">
      <c r="A31" s="1" t="s">
        <v>42</v>
      </c>
      <c r="B31" s="6">
        <v>210000</v>
      </c>
    </row>
    <row r="32" spans="1:14" x14ac:dyDescent="0.25">
      <c r="A32" s="1" t="s">
        <v>76</v>
      </c>
      <c r="B32" s="18">
        <f>B29/B31</f>
        <v>2.070393374741201E-3</v>
      </c>
    </row>
  </sheetData>
  <conditionalFormatting sqref="H6">
    <cfRule type="cellIs" dxfId="64" priority="8" operator="equal">
      <formula>$I6</formula>
    </cfRule>
    <cfRule type="cellIs" dxfId="63" priority="105" operator="greaterThan">
      <formula>$I$6</formula>
    </cfRule>
    <cfRule type="cellIs" dxfId="62" priority="106" operator="lessThan">
      <formula>$I$6</formula>
    </cfRule>
  </conditionalFormatting>
  <conditionalFormatting sqref="H7">
    <cfRule type="cellIs" dxfId="61" priority="7" operator="equal">
      <formula>$I$7</formula>
    </cfRule>
    <cfRule type="cellIs" dxfId="60" priority="107" operator="greaterThan">
      <formula>$I$7</formula>
    </cfRule>
    <cfRule type="cellIs" dxfId="59" priority="108" operator="lessThan">
      <formula>$I$7</formula>
    </cfRule>
  </conditionalFormatting>
  <conditionalFormatting sqref="H17">
    <cfRule type="cellIs" dxfId="58" priority="116" operator="equal">
      <formula>$I$17</formula>
    </cfRule>
    <cfRule type="cellIs" dxfId="57" priority="117" operator="lessThan">
      <formula>$I$17</formula>
    </cfRule>
    <cfRule type="cellIs" dxfId="56" priority="118" operator="greaterThan">
      <formula>$I$17</formula>
    </cfRule>
  </conditionalFormatting>
  <conditionalFormatting sqref="B17">
    <cfRule type="cellIs" dxfId="55" priority="181" operator="lessThan">
      <formula>$C$17</formula>
    </cfRule>
    <cfRule type="cellIs" dxfId="54" priority="182" operator="equal">
      <formula>$C$17</formula>
    </cfRule>
    <cfRule type="cellIs" dxfId="53" priority="183" operator="greaterThan">
      <formula>$C$17</formula>
    </cfRule>
  </conditionalFormatting>
  <conditionalFormatting sqref="B9">
    <cfRule type="cellIs" dxfId="52" priority="204" operator="greaterThan">
      <formula>$D$9</formula>
    </cfRule>
    <cfRule type="cellIs" dxfId="51" priority="205" operator="lessThan">
      <formula>$C$9</formula>
    </cfRule>
    <cfRule type="cellIs" dxfId="50" priority="206" operator="between">
      <formula>$C$9</formula>
      <formula>$D$9</formula>
    </cfRule>
  </conditionalFormatting>
  <conditionalFormatting sqref="B23">
    <cfRule type="cellIs" dxfId="49" priority="207" operator="lessThan">
      <formula>$C$23</formula>
    </cfRule>
    <cfRule type="cellIs" dxfId="48" priority="208" operator="equal">
      <formula>$C$23</formula>
    </cfRule>
    <cfRule type="cellIs" dxfId="47" priority="209" operator="greaterThan">
      <formula>$C$23</formula>
    </cfRule>
  </conditionalFormatting>
  <conditionalFormatting sqref="B16">
    <cfRule type="cellIs" dxfId="46" priority="213" operator="lessThan">
      <formula>$C$16</formula>
    </cfRule>
    <cfRule type="cellIs" dxfId="45" priority="214" operator="equal">
      <formula>$C$16</formula>
    </cfRule>
    <cfRule type="cellIs" dxfId="44" priority="215" operator="greaterThan">
      <formula>$C$16</formula>
    </cfRule>
  </conditionalFormatting>
  <conditionalFormatting sqref="H10:H11">
    <cfRule type="cellIs" dxfId="43" priority="15" operator="greaterThan">
      <formula>$J10</formula>
    </cfRule>
    <cfRule type="cellIs" dxfId="42" priority="16" operator="lessThan">
      <formula>$I10</formula>
    </cfRule>
    <cfRule type="cellIs" dxfId="41" priority="17" operator="between">
      <formula>$I10</formula>
      <formula>$J10</formula>
    </cfRule>
  </conditionalFormatting>
  <conditionalFormatting sqref="H16">
    <cfRule type="cellIs" dxfId="40" priority="9" operator="greaterThan">
      <formula>$I$16</formula>
    </cfRule>
    <cfRule type="cellIs" dxfId="39" priority="10" operator="equal">
      <formula>$I$16</formula>
    </cfRule>
    <cfRule type="cellIs" dxfId="38" priority="11" operator="lessThan">
      <formula>$I$16</formula>
    </cfRule>
  </conditionalFormatting>
  <conditionalFormatting sqref="B10">
    <cfRule type="cellIs" dxfId="37" priority="4" operator="equal">
      <formula>$C$10</formula>
    </cfRule>
    <cfRule type="cellIs" dxfId="36" priority="5" operator="lessThan">
      <formula>$C$10</formula>
    </cfRule>
    <cfRule type="cellIs" dxfId="35" priority="6" operator="greaterThan">
      <formula>$C$10</formula>
    </cfRule>
  </conditionalFormatting>
  <conditionalFormatting sqref="H18">
    <cfRule type="cellIs" dxfId="34" priority="1" operator="equal">
      <formula>$I$18</formula>
    </cfRule>
    <cfRule type="cellIs" dxfId="33" priority="2" operator="lessThan">
      <formula>$I$18</formula>
    </cfRule>
    <cfRule type="cellIs" dxfId="32" priority="3" operator="greaterThan">
      <formula>$I$18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aux!$A$2:$A$3</xm:f>
          </x14:formula1>
          <xm:sqref>B2</xm:sqref>
        </x14:dataValidation>
        <x14:dataValidation type="list" allowBlank="1" showInputMessage="1" showErrorMessage="1" xr:uid="{00000000-0002-0000-0000-000001000000}">
          <x14:formula1>
            <xm:f>aux!$B$2:$B$3</xm:f>
          </x14:formula1>
          <xm:sqref>B14</xm:sqref>
        </x14:dataValidation>
        <x14:dataValidation type="list" allowBlank="1" showInputMessage="1" showErrorMessage="1" xr:uid="{00000000-0002-0000-0000-000002000000}">
          <x14:formula1>
            <xm:f>aux!$C$2:$C$3</xm:f>
          </x14:formula1>
          <xm:sqref>B20</xm:sqref>
        </x14:dataValidation>
        <x14:dataValidation type="list" allowBlank="1" showInputMessage="1" showErrorMessage="1" xr:uid="{00000000-0002-0000-0000-000003000000}">
          <x14:formula1>
            <xm:f>aux!$G$2:$G$3</xm:f>
          </x14:formula1>
          <xm:sqref>B27</xm:sqref>
        </x14:dataValidation>
        <x14:dataValidation type="list" allowBlank="1" showInputMessage="1" showErrorMessage="1" xr:uid="{00000000-0002-0000-0000-000004000000}">
          <x14:formula1>
            <xm:f>aux!$F$4:$F$10</xm:f>
          </x14:formula1>
          <xm:sqref>I2:I5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="85" zoomScaleNormal="85" workbookViewId="0">
      <selection activeCell="M20" sqref="M20"/>
    </sheetView>
  </sheetViews>
  <sheetFormatPr baseColWidth="10" defaultRowHeight="15" x14ac:dyDescent="0.25"/>
  <cols>
    <col min="6" max="6" width="16.28515625" customWidth="1"/>
    <col min="8" max="8" width="12.5703125" bestFit="1" customWidth="1"/>
    <col min="9" max="9" width="13.140625" customWidth="1"/>
  </cols>
  <sheetData>
    <row r="1" spans="1:12" x14ac:dyDescent="0.25">
      <c r="A1" t="s">
        <v>52</v>
      </c>
      <c r="F1" t="s">
        <v>86</v>
      </c>
    </row>
    <row r="2" spans="1:12" x14ac:dyDescent="0.25">
      <c r="A2" t="s">
        <v>51</v>
      </c>
      <c r="B2" s="3" t="s">
        <v>54</v>
      </c>
      <c r="F2" t="s">
        <v>3</v>
      </c>
      <c r="G2" s="3">
        <v>12</v>
      </c>
      <c r="H2">
        <f>IF(B11=aux!D2,8,6)</f>
        <v>8</v>
      </c>
      <c r="I2" t="s">
        <v>20</v>
      </c>
    </row>
    <row r="3" spans="1:12" x14ac:dyDescent="0.25">
      <c r="A3" t="s">
        <v>65</v>
      </c>
      <c r="B3" s="4">
        <v>5.85</v>
      </c>
      <c r="F3" s="1" t="s">
        <v>80</v>
      </c>
      <c r="G3" s="4">
        <v>16</v>
      </c>
    </row>
    <row r="4" spans="1:12" x14ac:dyDescent="0.25">
      <c r="A4" t="s">
        <v>63</v>
      </c>
      <c r="B4" s="16">
        <v>0.64</v>
      </c>
      <c r="F4" t="s">
        <v>94</v>
      </c>
      <c r="G4" s="5" t="s">
        <v>66</v>
      </c>
    </row>
    <row r="5" spans="1:12" x14ac:dyDescent="0.25">
      <c r="A5" t="s">
        <v>62</v>
      </c>
      <c r="B5" s="17">
        <v>0.9</v>
      </c>
      <c r="E5" t="s">
        <v>48</v>
      </c>
      <c r="F5" t="s">
        <v>28</v>
      </c>
      <c r="G5">
        <f>IF(B11=aux!D2,IF(G4=aux!E2,G2/4+1,""),"")</f>
        <v>4</v>
      </c>
      <c r="K5" s="1"/>
      <c r="L5" s="1"/>
    </row>
    <row r="6" spans="1:12" x14ac:dyDescent="0.25">
      <c r="A6" s="1" t="s">
        <v>64</v>
      </c>
      <c r="B6">
        <f>IF(B5&lt;B4,1+2*(B3-1)*B4/B5,2*B3-1)</f>
        <v>10.7</v>
      </c>
      <c r="E6" t="s">
        <v>48</v>
      </c>
      <c r="F6" t="s">
        <v>29</v>
      </c>
      <c r="G6" s="6">
        <v>4</v>
      </c>
      <c r="H6">
        <v>3</v>
      </c>
      <c r="I6" t="s">
        <v>20</v>
      </c>
      <c r="K6" s="1"/>
    </row>
    <row r="7" spans="1:12" x14ac:dyDescent="0.25">
      <c r="A7" s="1" t="s">
        <v>109</v>
      </c>
      <c r="B7">
        <f>IF(B5&lt;B4,1+2*(2/3*B3-1)*B4/B5,2*2/3*B3-1)</f>
        <v>6.7999999999999989</v>
      </c>
      <c r="E7" t="s">
        <v>49</v>
      </c>
      <c r="F7" t="s">
        <v>30</v>
      </c>
      <c r="G7">
        <f>IF(G5="",IF(B11=aux!D3,"",(G2-2*G6)/2+2),G5)</f>
        <v>4</v>
      </c>
      <c r="H7">
        <f>H6</f>
        <v>3</v>
      </c>
      <c r="I7" t="str">
        <f>I6</f>
        <v>nmin</v>
      </c>
    </row>
    <row r="8" spans="1:12" x14ac:dyDescent="0.25">
      <c r="F8" t="s">
        <v>31</v>
      </c>
      <c r="G8" s="9">
        <f>(B14-2*$B$15-$G$3)/(IF(G4=aux!E2,G5,G6)-1)</f>
        <v>109.66666666666667</v>
      </c>
      <c r="H8">
        <v>150</v>
      </c>
      <c r="I8" t="s">
        <v>97</v>
      </c>
    </row>
    <row r="9" spans="1:12" x14ac:dyDescent="0.25">
      <c r="A9" t="s">
        <v>81</v>
      </c>
      <c r="F9" t="s">
        <v>32</v>
      </c>
      <c r="G9" s="9">
        <f>(B13-2*$B$15-$G$3)/(G7-1)</f>
        <v>109.66666666666667</v>
      </c>
      <c r="H9">
        <f>H8</f>
        <v>150</v>
      </c>
      <c r="I9" t="str">
        <f>I8</f>
        <v>dist,max [mm]</v>
      </c>
    </row>
    <row r="10" spans="1:12" x14ac:dyDescent="0.25">
      <c r="A10" t="s">
        <v>105</v>
      </c>
      <c r="B10" s="3" t="s">
        <v>108</v>
      </c>
      <c r="F10" t="s">
        <v>17</v>
      </c>
      <c r="G10" s="8">
        <f>G2*PI()*G3^2/4/(B13*B14)</f>
        <v>1.4709606206108589E-2</v>
      </c>
      <c r="H10" s="8">
        <v>0.01</v>
      </c>
      <c r="I10" s="8">
        <v>0.04</v>
      </c>
    </row>
    <row r="11" spans="1:12" x14ac:dyDescent="0.25">
      <c r="A11" t="s">
        <v>85</v>
      </c>
      <c r="B11" s="5" t="s">
        <v>40</v>
      </c>
      <c r="H11" t="s">
        <v>50</v>
      </c>
      <c r="I11" t="s">
        <v>91</v>
      </c>
    </row>
    <row r="12" spans="1:12" x14ac:dyDescent="0.25">
      <c r="A12" t="s">
        <v>61</v>
      </c>
      <c r="B12">
        <v>3</v>
      </c>
      <c r="F12" t="s">
        <v>87</v>
      </c>
    </row>
    <row r="13" spans="1:12" x14ac:dyDescent="0.25">
      <c r="A13" t="s">
        <v>24</v>
      </c>
      <c r="B13" s="3">
        <v>405</v>
      </c>
      <c r="C13">
        <f>IF(B2=aux!A2,MAX(250,B12/2*1000/10),B12/2*1000/10)</f>
        <v>250</v>
      </c>
      <c r="D13" t="s">
        <v>47</v>
      </c>
      <c r="F13" s="1" t="s">
        <v>78</v>
      </c>
      <c r="G13" s="3">
        <v>8</v>
      </c>
      <c r="H13">
        <f>MAX(6,G3*(IF(B2=aux!A2,0.4*(1)^0.5,0.25)))</f>
        <v>6.4</v>
      </c>
      <c r="I13" t="s">
        <v>22</v>
      </c>
      <c r="K13" s="1"/>
      <c r="L13" s="1"/>
    </row>
    <row r="14" spans="1:12" x14ac:dyDescent="0.25">
      <c r="A14" t="s">
        <v>25</v>
      </c>
      <c r="B14" s="4">
        <v>405</v>
      </c>
      <c r="C14">
        <f>C13</f>
        <v>250</v>
      </c>
      <c r="D14" t="str">
        <f>D13</f>
        <v>hmin [mm]</v>
      </c>
      <c r="F14" t="s">
        <v>9</v>
      </c>
      <c r="G14" s="5">
        <v>90</v>
      </c>
      <c r="H14" s="9">
        <f>IF(B2=aux!A2,MIN(6*G3,MIN(B18,B19)/3,125),MIN(8*G3,MIN(B18,B19)/2,175))</f>
        <v>96</v>
      </c>
      <c r="I14" t="s">
        <v>23</v>
      </c>
      <c r="K14" s="1"/>
    </row>
    <row r="15" spans="1:12" x14ac:dyDescent="0.25">
      <c r="A15" t="s">
        <v>21</v>
      </c>
      <c r="B15" s="5">
        <v>30</v>
      </c>
      <c r="F15" t="s">
        <v>33</v>
      </c>
      <c r="G15" s="20">
        <f>IF(B11=aux!D3,"",IF(G4=aux!E2,IF(G8&gt;(IF(B2=aux!A2,150/2,200/2)),G5,IF((-1)^G5&lt;0,G5/2+0.5,G5/2+1)),IF(G8&gt;(IF(B2=aux!A2,150/2,200/2)),G6,IF((-1)^G6&lt;0,G6/2+0.5,G6/2+1))))</f>
        <v>4</v>
      </c>
    </row>
    <row r="16" spans="1:12" x14ac:dyDescent="0.25">
      <c r="A16" t="s">
        <v>26</v>
      </c>
      <c r="B16">
        <f>B13-$B$15-$G$3/2</f>
        <v>367</v>
      </c>
      <c r="F16" t="s">
        <v>34</v>
      </c>
      <c r="G16" s="20">
        <f>IF(G4=aux!E2,G15,IF(G9&gt;(IF(B2=aux!A2,150/2,200/2)),G7,IF((-1)^G7&lt;0,G7/2+0.5,G7/2+1)))</f>
        <v>4</v>
      </c>
    </row>
    <row r="17" spans="1:9" x14ac:dyDescent="0.25">
      <c r="A17" t="s">
        <v>27</v>
      </c>
      <c r="B17">
        <f>B14-$B$15-$G$3/2</f>
        <v>367</v>
      </c>
      <c r="F17" t="s">
        <v>102</v>
      </c>
      <c r="G17" s="8">
        <f>PI()/4*G15*$G$13^2/(B18*$G$14)</f>
        <v>6.6291437464473047E-3</v>
      </c>
    </row>
    <row r="18" spans="1:9" x14ac:dyDescent="0.25">
      <c r="A18" t="s">
        <v>98</v>
      </c>
      <c r="B18">
        <f>B13-2*$B$15-$G$13</f>
        <v>337</v>
      </c>
      <c r="F18" t="s">
        <v>101</v>
      </c>
      <c r="G18" s="8">
        <f>PI()/4*G16*$G$13^2/(B19*$G$14)</f>
        <v>6.6291437464473047E-3</v>
      </c>
    </row>
    <row r="19" spans="1:9" x14ac:dyDescent="0.25">
      <c r="A19" t="s">
        <v>99</v>
      </c>
      <c r="B19">
        <f>B14-2*$B$15-$G$13</f>
        <v>337</v>
      </c>
      <c r="F19" s="1" t="s">
        <v>103</v>
      </c>
      <c r="G19" s="2">
        <f>(G17+G18)*B32/B31</f>
        <v>0.34586836937985938</v>
      </c>
      <c r="H19">
        <f>IF(B10=aux!H2,IF(B2=aux!A2,0.12,0.08),IF(B2=aux!A2,0.08,0))</f>
        <v>0.08</v>
      </c>
      <c r="I19" s="1" t="s">
        <v>104</v>
      </c>
    </row>
    <row r="20" spans="1:9" x14ac:dyDescent="0.25">
      <c r="F20" s="21" t="s">
        <v>100</v>
      </c>
      <c r="G20">
        <f>2*(B18^2/(G16-1)+B19^2/(G15-1))</f>
        <v>151425.33333333334</v>
      </c>
    </row>
    <row r="21" spans="1:9" x14ac:dyDescent="0.25">
      <c r="A21" t="s">
        <v>88</v>
      </c>
      <c r="F21" s="21" t="s">
        <v>45</v>
      </c>
      <c r="G21" s="8">
        <f>(1-G14/(2*B19))*(1-G14/(2*B18))*(1-G20/(6*B18*B19))</f>
        <v>0.58393086532807748</v>
      </c>
      <c r="H21" t="s">
        <v>111</v>
      </c>
      <c r="I21" t="s">
        <v>112</v>
      </c>
    </row>
    <row r="22" spans="1:9" x14ac:dyDescent="0.25">
      <c r="A22" t="s">
        <v>90</v>
      </c>
      <c r="B22" s="6">
        <v>172</v>
      </c>
      <c r="F22" t="s">
        <v>110</v>
      </c>
      <c r="G22" s="8">
        <f>G21*G19</f>
        <v>0.20196321622159241</v>
      </c>
      <c r="H22" s="8">
        <f>IF(B10=aux!H2,30*B6*B23*B34*B14/B19-0.035,IF(B2=aux!A2,30*B7*B23*B34*B14/B19-0.035,0))</f>
        <v>1.5758427484011274E-2</v>
      </c>
      <c r="I22" s="8">
        <f>IF(B10=aux!H2,30*B6*B23*B34*B13/B18-0.035,IF(B2=aux!A2,30*B7*B23*B34*B13/B18-0.035,0))</f>
        <v>1.5758427484011274E-2</v>
      </c>
    </row>
    <row r="23" spans="1:9" x14ac:dyDescent="0.25">
      <c r="A23" s="1" t="s">
        <v>89</v>
      </c>
      <c r="B23" s="2">
        <v>0.1</v>
      </c>
      <c r="C23">
        <f>IF(B2=aux!A2,0.55,0.65)</f>
        <v>0.55000000000000004</v>
      </c>
      <c r="D23" s="1" t="s">
        <v>136</v>
      </c>
    </row>
    <row r="25" spans="1:9" x14ac:dyDescent="0.25">
      <c r="A25" t="s">
        <v>83</v>
      </c>
    </row>
    <row r="26" spans="1:9" x14ac:dyDescent="0.25">
      <c r="A26" t="s">
        <v>19</v>
      </c>
      <c r="B26" s="3">
        <v>25</v>
      </c>
    </row>
    <row r="27" spans="1:9" x14ac:dyDescent="0.25">
      <c r="A27" t="s">
        <v>0</v>
      </c>
      <c r="B27" s="4">
        <v>500</v>
      </c>
    </row>
    <row r="28" spans="1:9" x14ac:dyDescent="0.25">
      <c r="A28" s="1" t="s">
        <v>18</v>
      </c>
      <c r="B28" s="4">
        <v>1.5</v>
      </c>
    </row>
    <row r="29" spans="1:9" x14ac:dyDescent="0.25">
      <c r="A29" s="1" t="s">
        <v>1</v>
      </c>
      <c r="B29" s="4">
        <v>1.1499999999999999</v>
      </c>
    </row>
    <row r="30" spans="1:9" x14ac:dyDescent="0.25">
      <c r="A30" s="1" t="s">
        <v>45</v>
      </c>
      <c r="B30" s="5">
        <v>1</v>
      </c>
    </row>
    <row r="31" spans="1:9" x14ac:dyDescent="0.25">
      <c r="A31" t="s">
        <v>46</v>
      </c>
      <c r="B31" s="2">
        <f>B26/B28*B30</f>
        <v>16.666666666666668</v>
      </c>
    </row>
    <row r="32" spans="1:9" x14ac:dyDescent="0.25">
      <c r="A32" t="s">
        <v>2</v>
      </c>
      <c r="B32" s="2">
        <f>B27/B29</f>
        <v>434.78260869565219</v>
      </c>
    </row>
    <row r="33" spans="1:2" x14ac:dyDescent="0.25">
      <c r="A33" s="1" t="s">
        <v>42</v>
      </c>
      <c r="B33" s="6">
        <v>210000</v>
      </c>
    </row>
    <row r="34" spans="1:2" x14ac:dyDescent="0.25">
      <c r="A34" s="1" t="s">
        <v>76</v>
      </c>
      <c r="B34" s="18">
        <f>B32/B33</f>
        <v>2.070393374741201E-3</v>
      </c>
    </row>
  </sheetData>
  <conditionalFormatting sqref="G13">
    <cfRule type="cellIs" dxfId="31" priority="100" operator="lessThan">
      <formula>$H$13</formula>
    </cfRule>
    <cfRule type="cellIs" dxfId="30" priority="101" operator="equal">
      <formula>$H$13</formula>
    </cfRule>
    <cfRule type="cellIs" dxfId="29" priority="102" operator="greaterThan">
      <formula>$H$13</formula>
    </cfRule>
  </conditionalFormatting>
  <conditionalFormatting sqref="G14">
    <cfRule type="cellIs" dxfId="28" priority="103" operator="lessThan">
      <formula>$H$14</formula>
    </cfRule>
    <cfRule type="cellIs" dxfId="27" priority="104" operator="equal">
      <formula>$H$14</formula>
    </cfRule>
    <cfRule type="cellIs" dxfId="26" priority="105" operator="greaterThan">
      <formula>$H$14</formula>
    </cfRule>
  </conditionalFormatting>
  <conditionalFormatting sqref="G2">
    <cfRule type="cellIs" dxfId="25" priority="112" operator="lessThan">
      <formula>$H$2</formula>
    </cfRule>
    <cfRule type="cellIs" dxfId="24" priority="113" operator="equal">
      <formula>$H$2</formula>
    </cfRule>
    <cfRule type="cellIs" dxfId="23" priority="114" operator="greaterThan">
      <formula>$H$2</formula>
    </cfRule>
  </conditionalFormatting>
  <conditionalFormatting sqref="G5:G7">
    <cfRule type="cellIs" dxfId="22" priority="200" operator="equal">
      <formula>0</formula>
    </cfRule>
    <cfRule type="cellIs" dxfId="21" priority="201" operator="equal">
      <formula>$H$6</formula>
    </cfRule>
    <cfRule type="cellIs" dxfId="20" priority="202" operator="equal">
      <formula>0</formula>
    </cfRule>
    <cfRule type="cellIs" dxfId="19" priority="203" operator="between">
      <formula>0</formula>
      <formula>$H$6</formula>
    </cfRule>
    <cfRule type="cellIs" dxfId="18" priority="204" operator="greaterThan">
      <formula>$H$6</formula>
    </cfRule>
  </conditionalFormatting>
  <conditionalFormatting sqref="G10">
    <cfRule type="cellIs" dxfId="17" priority="10" operator="greaterThan">
      <formula>$I$10</formula>
    </cfRule>
    <cfRule type="cellIs" dxfId="16" priority="11" operator="lessThan">
      <formula>$H$10</formula>
    </cfRule>
    <cfRule type="cellIs" dxfId="15" priority="12" operator="between">
      <formula>$H$10</formula>
      <formula>"$I$10"</formula>
    </cfRule>
  </conditionalFormatting>
  <conditionalFormatting sqref="G8:G9">
    <cfRule type="cellIs" dxfId="14" priority="7" operator="lessThan">
      <formula>$H$8</formula>
    </cfRule>
    <cfRule type="cellIs" dxfId="13" priority="8" operator="equal">
      <formula>$H$8</formula>
    </cfRule>
    <cfRule type="cellIs" dxfId="12" priority="9" operator="greaterThan">
      <formula>$H$8</formula>
    </cfRule>
  </conditionalFormatting>
  <conditionalFormatting sqref="B13:B14">
    <cfRule type="cellIs" dxfId="11" priority="216" operator="greaterThan">
      <formula>$C$13</formula>
    </cfRule>
    <cfRule type="cellIs" dxfId="10" priority="217" operator="equal">
      <formula>$C$13</formula>
    </cfRule>
    <cfRule type="cellIs" dxfId="9" priority="218" operator="lessThan">
      <formula>$C$13</formula>
    </cfRule>
  </conditionalFormatting>
  <conditionalFormatting sqref="B23">
    <cfRule type="cellIs" dxfId="8" priority="219" operator="lessThan">
      <formula>$C$23</formula>
    </cfRule>
    <cfRule type="cellIs" dxfId="7" priority="220" operator="equal">
      <formula>$C$23</formula>
    </cfRule>
    <cfRule type="cellIs" dxfId="6" priority="221" operator="greaterThan">
      <formula>$C$23</formula>
    </cfRule>
  </conditionalFormatting>
  <conditionalFormatting sqref="G22">
    <cfRule type="cellIs" dxfId="5" priority="4" operator="lessThan">
      <formula>MAX($H$22:$I$22)</formula>
    </cfRule>
    <cfRule type="cellIs" dxfId="4" priority="5" operator="equal">
      <formula>MAX($H$22:$I$22)</formula>
    </cfRule>
    <cfRule type="cellIs" dxfId="3" priority="6" operator="greaterThan">
      <formula>MAX($H$22:$I$22)</formula>
    </cfRule>
  </conditionalFormatting>
  <conditionalFormatting sqref="G19">
    <cfRule type="cellIs" dxfId="2" priority="1" operator="lessThan">
      <formula>$H$19</formula>
    </cfRule>
    <cfRule type="cellIs" dxfId="1" priority="2" operator="equal">
      <formula>$H$19</formula>
    </cfRule>
    <cfRule type="cellIs" dxfId="0" priority="3" operator="greaterThan">
      <formula>$H$19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aux!$D$2:$D$3</xm:f>
          </x14:formula1>
          <xm:sqref>B11</xm:sqref>
        </x14:dataValidation>
        <x14:dataValidation type="list" allowBlank="1" showInputMessage="1" showErrorMessage="1" xr:uid="{00000000-0002-0000-0100-000001000000}">
          <x14:formula1>
            <xm:f>aux!$E$2:$E$3</xm:f>
          </x14:formula1>
          <xm:sqref>G4</xm:sqref>
        </x14:dataValidation>
        <x14:dataValidation type="list" allowBlank="1" showInputMessage="1" showErrorMessage="1" xr:uid="{00000000-0002-0000-0100-000002000000}">
          <x14:formula1>
            <xm:f>aux!$F$2:$F$4</xm:f>
          </x14:formula1>
          <xm:sqref>G13</xm:sqref>
        </x14:dataValidation>
        <x14:dataValidation type="list" allowBlank="1" showInputMessage="1" showErrorMessage="1" xr:uid="{00000000-0002-0000-0100-000003000000}">
          <x14:formula1>
            <xm:f>aux!$G$2:$G$3</xm:f>
          </x14:formula1>
          <xm:sqref>B30</xm:sqref>
        </x14:dataValidation>
        <x14:dataValidation type="list" allowBlank="1" showInputMessage="1" showErrorMessage="1" xr:uid="{00000000-0002-0000-0100-000004000000}">
          <x14:formula1>
            <xm:f>aux!$A$2:$A$3</xm:f>
          </x14:formula1>
          <xm:sqref>B2</xm:sqref>
        </x14:dataValidation>
        <x14:dataValidation type="list" allowBlank="1" showInputMessage="1" showErrorMessage="1" xr:uid="{00000000-0002-0000-0100-000005000000}">
          <x14:formula1>
            <xm:f>aux!$F$2:$F$10</xm:f>
          </x14:formula1>
          <xm:sqref>G3</xm:sqref>
        </x14:dataValidation>
        <x14:dataValidation type="list" allowBlank="1" showInputMessage="1" showErrorMessage="1" xr:uid="{00000000-0002-0000-0100-000006000000}">
          <x14:formula1>
            <xm:f>aux!$H$2:$H$3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zoomScale="85" zoomScaleNormal="85" workbookViewId="0">
      <selection activeCell="E5" sqref="E5"/>
    </sheetView>
  </sheetViews>
  <sheetFormatPr baseColWidth="10" defaultColWidth="9.140625" defaultRowHeight="15" x14ac:dyDescent="0.25"/>
  <cols>
    <col min="1" max="1" width="13.5703125" bestFit="1" customWidth="1"/>
  </cols>
  <sheetData>
    <row r="1" spans="1:2" x14ac:dyDescent="0.25">
      <c r="A1" s="1" t="s">
        <v>146</v>
      </c>
      <c r="B1" s="3">
        <v>12</v>
      </c>
    </row>
    <row r="2" spans="1:2" x14ac:dyDescent="0.25">
      <c r="A2" t="s">
        <v>85</v>
      </c>
      <c r="B2" s="4" t="s">
        <v>145</v>
      </c>
    </row>
    <row r="3" spans="1:2" x14ac:dyDescent="0.25">
      <c r="A3" s="1" t="s">
        <v>53</v>
      </c>
      <c r="B3" s="5" t="s">
        <v>54</v>
      </c>
    </row>
    <row r="4" spans="1:2" x14ac:dyDescent="0.25">
      <c r="A4" s="1" t="s">
        <v>144</v>
      </c>
      <c r="B4">
        <f>IF(B3="H",1,2/3)</f>
        <v>1</v>
      </c>
    </row>
    <row r="5" spans="1:2" x14ac:dyDescent="0.25">
      <c r="A5" s="1" t="s">
        <v>143</v>
      </c>
      <c r="B5">
        <f>IF(B3="H",1.2,1)</f>
        <v>1.2</v>
      </c>
    </row>
    <row r="6" spans="1:2" x14ac:dyDescent="0.25">
      <c r="A6" t="s">
        <v>19</v>
      </c>
      <c r="B6" s="6">
        <v>25</v>
      </c>
    </row>
    <row r="7" spans="1:2" x14ac:dyDescent="0.25">
      <c r="A7" t="s">
        <v>73</v>
      </c>
      <c r="B7" s="2">
        <f>0.3*B6^(2/3)</f>
        <v>2.5649639200150443</v>
      </c>
    </row>
    <row r="8" spans="1:2" x14ac:dyDescent="0.25">
      <c r="A8" t="s">
        <v>0</v>
      </c>
      <c r="B8" s="3">
        <v>450</v>
      </c>
    </row>
    <row r="9" spans="1:2" x14ac:dyDescent="0.25">
      <c r="A9" s="1" t="s">
        <v>89</v>
      </c>
      <c r="B9" s="4">
        <v>7.0000000000000007E-2</v>
      </c>
    </row>
    <row r="10" spans="1:2" x14ac:dyDescent="0.25">
      <c r="A10" s="1" t="s">
        <v>142</v>
      </c>
      <c r="B10" s="5">
        <v>0.61</v>
      </c>
    </row>
    <row r="11" spans="1:2" x14ac:dyDescent="0.25">
      <c r="A11" s="1" t="s">
        <v>141</v>
      </c>
      <c r="B11" s="9">
        <f>B12/B1</f>
        <v>33.689769592452613</v>
      </c>
    </row>
    <row r="12" spans="1:2" x14ac:dyDescent="0.25">
      <c r="A12" s="1" t="s">
        <v>140</v>
      </c>
      <c r="B12" s="9">
        <f>B1/(7.5*B7/B5/B8*1.15*(1+0.8*B9)/(IF(B2="I",1+0.75*B4*B10,1)))</f>
        <v>404.27723510943133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aux!$F$2:$F$10</xm:f>
          </x14:formula1>
          <xm:sqref>B1</xm:sqref>
        </x14:dataValidation>
        <x14:dataValidation type="list" allowBlank="1" showInputMessage="1" showErrorMessage="1" xr:uid="{00000000-0002-0000-0200-000001000000}">
          <x14:formula1>
            <xm:f>aux!$A$2:$A$3</xm:f>
          </x14:formula1>
          <xm:sqref>B3</xm:sqref>
        </x14:dataValidation>
        <x14:dataValidation type="list" allowBlank="1" showInputMessage="1" showErrorMessage="1" xr:uid="{00000000-0002-0000-0200-000002000000}">
          <x14:formula1>
            <xm:f>aux!$I$2:$I$3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K4" sqref="K4"/>
    </sheetView>
  </sheetViews>
  <sheetFormatPr baseColWidth="10" defaultRowHeight="15" x14ac:dyDescent="0.25"/>
  <cols>
    <col min="4" max="4" width="13.42578125" bestFit="1" customWidth="1"/>
  </cols>
  <sheetData>
    <row r="1" spans="1:9" x14ac:dyDescent="0.25">
      <c r="A1" t="s">
        <v>53</v>
      </c>
      <c r="B1" t="s">
        <v>92</v>
      </c>
      <c r="C1" t="s">
        <v>11</v>
      </c>
      <c r="D1" t="s">
        <v>95</v>
      </c>
      <c r="E1" t="s">
        <v>93</v>
      </c>
      <c r="F1" t="s">
        <v>35</v>
      </c>
      <c r="G1" t="s">
        <v>44</v>
      </c>
      <c r="H1" t="s">
        <v>106</v>
      </c>
      <c r="I1" t="s">
        <v>105</v>
      </c>
    </row>
    <row r="2" spans="1:9" x14ac:dyDescent="0.25">
      <c r="A2" t="s">
        <v>54</v>
      </c>
      <c r="B2" t="s">
        <v>10</v>
      </c>
      <c r="C2" t="s">
        <v>66</v>
      </c>
      <c r="D2" t="s">
        <v>40</v>
      </c>
      <c r="E2" t="s">
        <v>66</v>
      </c>
      <c r="F2">
        <v>6</v>
      </c>
      <c r="G2">
        <v>0.85</v>
      </c>
      <c r="H2" t="s">
        <v>107</v>
      </c>
      <c r="I2" t="s">
        <v>145</v>
      </c>
    </row>
    <row r="3" spans="1:9" x14ac:dyDescent="0.25">
      <c r="A3" t="s">
        <v>55</v>
      </c>
      <c r="B3" t="s">
        <v>60</v>
      </c>
      <c r="C3" t="s">
        <v>43</v>
      </c>
      <c r="D3" t="s">
        <v>41</v>
      </c>
      <c r="E3" t="s">
        <v>43</v>
      </c>
      <c r="F3">
        <v>8</v>
      </c>
      <c r="G3">
        <v>1</v>
      </c>
      <c r="H3" t="s">
        <v>108</v>
      </c>
      <c r="I3" t="s">
        <v>147</v>
      </c>
    </row>
    <row r="4" spans="1:9" x14ac:dyDescent="0.25">
      <c r="F4">
        <v>10</v>
      </c>
    </row>
    <row r="5" spans="1:9" x14ac:dyDescent="0.25">
      <c r="F5">
        <v>12</v>
      </c>
    </row>
    <row r="6" spans="1:9" x14ac:dyDescent="0.25">
      <c r="F6">
        <v>14</v>
      </c>
    </row>
    <row r="7" spans="1:9" x14ac:dyDescent="0.25">
      <c r="F7">
        <v>16</v>
      </c>
    </row>
    <row r="8" spans="1:9" x14ac:dyDescent="0.25">
      <c r="F8">
        <v>20</v>
      </c>
    </row>
    <row r="9" spans="1:9" x14ac:dyDescent="0.25">
      <c r="F9">
        <v>25</v>
      </c>
    </row>
    <row r="10" spans="1:9" x14ac:dyDescent="0.25">
      <c r="F10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Beams</vt:lpstr>
      <vt:lpstr>Columns</vt:lpstr>
      <vt:lpstr>dbL, hc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2023-01-18T19:37:46Z</dcterms:modified>
</cp:coreProperties>
</file>