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F4" i="1" l="1"/>
  <c r="B26" i="1" l="1"/>
  <c r="B19" i="1"/>
  <c r="B11" i="1"/>
  <c r="E13" i="1"/>
  <c r="G19" i="1" s="1"/>
  <c r="E12" i="1"/>
  <c r="B7" i="1"/>
  <c r="B4" i="1"/>
  <c r="B12" i="1" l="1"/>
  <c r="B14" i="1"/>
  <c r="B27" i="1"/>
  <c r="H2" i="1" s="1"/>
  <c r="G18" i="1"/>
  <c r="G21" i="1"/>
  <c r="G20" i="1"/>
  <c r="P14" i="1" l="1"/>
  <c r="H4" i="1"/>
  <c r="F3" i="1"/>
  <c r="P6" i="1"/>
  <c r="P4" i="1"/>
  <c r="Q4" i="1" s="1"/>
  <c r="R4" i="1" s="1"/>
  <c r="S4" i="1" s="1"/>
  <c r="T4" i="1" s="1"/>
  <c r="L7" i="1" s="1"/>
  <c r="P5" i="1"/>
  <c r="Q5" i="1" s="1"/>
  <c r="Q14" i="1"/>
  <c r="P13" i="1"/>
  <c r="B13" i="1"/>
  <c r="H3" i="1"/>
  <c r="H5" i="1" s="1"/>
  <c r="M7" i="1" l="1"/>
  <c r="Q13" i="1"/>
  <c r="R13" i="1" s="1"/>
  <c r="S13" i="1" s="1"/>
  <c r="T13" i="1" s="1"/>
  <c r="L15" i="1" s="1"/>
  <c r="M15" i="1" s="1"/>
  <c r="R5" i="1"/>
  <c r="S5" i="1" s="1"/>
  <c r="T5" i="1" s="1"/>
  <c r="Q6" i="1"/>
  <c r="R6" i="1" s="1"/>
  <c r="S6" i="1" s="1"/>
  <c r="T6" i="1" s="1"/>
  <c r="L8" i="1" l="1"/>
  <c r="M8" i="1" s="1"/>
  <c r="R14" i="1"/>
  <c r="S14" i="1" s="1"/>
  <c r="T14" i="1" s="1"/>
  <c r="L16" i="1" l="1"/>
  <c r="M16" i="1" s="1"/>
</calcChain>
</file>

<file path=xl/sharedStrings.xml><?xml version="1.0" encoding="utf-8"?>
<sst xmlns="http://schemas.openxmlformats.org/spreadsheetml/2006/main" count="90" uniqueCount="72">
  <si>
    <t>GEOMETRÍA</t>
  </si>
  <si>
    <t>h1 [mm]</t>
  </si>
  <si>
    <t>h2 [mm]</t>
  </si>
  <si>
    <t>hv [mm]</t>
  </si>
  <si>
    <t>hresalto [mm]</t>
  </si>
  <si>
    <t>r [mm]</t>
  </si>
  <si>
    <t>intje 0 [mm]</t>
  </si>
  <si>
    <t>intje d [mm]</t>
  </si>
  <si>
    <t>MATERIALES</t>
  </si>
  <si>
    <t>fck</t>
  </si>
  <si>
    <t>fyk</t>
  </si>
  <si>
    <t>ϒc</t>
  </si>
  <si>
    <t>ϒy</t>
  </si>
  <si>
    <t>fcd</t>
  </si>
  <si>
    <t>fyd</t>
  </si>
  <si>
    <t>Mr+ [kNm/m]</t>
  </si>
  <si>
    <t>Vr [kN/m]</t>
  </si>
  <si>
    <t>Vrm [kN/m]</t>
  </si>
  <si>
    <t>d1 [mm]</t>
  </si>
  <si>
    <t>d2 [mm]</t>
  </si>
  <si>
    <t>d3 [mm]</t>
  </si>
  <si>
    <t>hp [mm]</t>
  </si>
  <si>
    <t>bv [mm]</t>
  </si>
  <si>
    <t>bov. Quitadas</t>
  </si>
  <si>
    <t>bb [mm]</t>
  </si>
  <si>
    <t>macizado [mm]</t>
  </si>
  <si>
    <t>Vd [kN]</t>
  </si>
  <si>
    <t>FICHA TÉCNICA VIGUETAS</t>
  </si>
  <si>
    <t>(para armados grandes)</t>
  </si>
  <si>
    <t>(desde cara de pilar)</t>
  </si>
  <si>
    <t>Md+ [kNm]</t>
  </si>
  <si>
    <t>Md- [kNm]</t>
  </si>
  <si>
    <t>RESISTENCIA FLEXIÓN</t>
  </si>
  <si>
    <t>ANCLAJES</t>
  </si>
  <si>
    <t>I (inf)</t>
  </si>
  <si>
    <t>II (sup)</t>
  </si>
  <si>
    <t>U [kN]</t>
  </si>
  <si>
    <t>CARGAS</t>
  </si>
  <si>
    <t>G [kN/m2]</t>
  </si>
  <si>
    <t>Q [kN/m2]</t>
  </si>
  <si>
    <t>q [kN/m]</t>
  </si>
  <si>
    <t>carga [kN/m2]</t>
  </si>
  <si>
    <t>SOLICITACIONES vigueta</t>
  </si>
  <si>
    <t>SOLICITACIONES macizado</t>
  </si>
  <si>
    <t>Vd' [kN]</t>
  </si>
  <si>
    <t>L [m]</t>
  </si>
  <si>
    <t>(positivos)</t>
  </si>
  <si>
    <t>vigueta</t>
  </si>
  <si>
    <t>y [mm]</t>
  </si>
  <si>
    <t>z [mm]</t>
  </si>
  <si>
    <t>nervio</t>
  </si>
  <si>
    <t>m</t>
  </si>
  <si>
    <t>Mr [kNm]</t>
  </si>
  <si>
    <t>(sólo armaduras)</t>
  </si>
  <si>
    <t>Mr- [kNm/m]</t>
  </si>
  <si>
    <t>macizado</t>
  </si>
  <si>
    <t>añadido</t>
  </si>
  <si>
    <t>d4 [mm]</t>
  </si>
  <si>
    <t>bvig [mm]</t>
  </si>
  <si>
    <t>hvig [mm]</t>
  </si>
  <si>
    <t>total</t>
  </si>
  <si>
    <t>incremento</t>
  </si>
  <si>
    <t>cm</t>
  </si>
  <si>
    <t>Φ</t>
  </si>
  <si>
    <t>[mm]</t>
  </si>
  <si>
    <t>Φ10</t>
  </si>
  <si>
    <t>Φ12</t>
  </si>
  <si>
    <t>Φ16</t>
  </si>
  <si>
    <t>Φ20</t>
  </si>
  <si>
    <t>[cm]</t>
  </si>
  <si>
    <t>[kN]</t>
  </si>
  <si>
    <t>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</si>
</sst>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" fontId="0" fillId="0" borderId="0" xfId="0" applyNumberFormat="1"/>
    <xf numFmtId="2" fontId="0" fillId="0" borderId="0" xfId="0" applyNumberFormat="1"/>
    <xf numFmtId="1" fontId="0" fillId="0" borderId="0" xfId="0" applyNumberFormat="1" applyBorder="1"/>
    <xf numFmtId="0" fontId="0" fillId="0" borderId="1" xfId="0" applyBorder="1"/>
    <xf numFmtId="0" fontId="2" fillId="0" borderId="0" xfId="0" applyFont="1"/>
    <xf numFmtId="0" fontId="3" fillId="0" borderId="4" xfId="0" applyFont="1" applyBorder="1"/>
    <xf numFmtId="0" fontId="3" fillId="0" borderId="3" xfId="0" applyFont="1" applyBorder="1"/>
    <xf numFmtId="0" fontId="3" fillId="0" borderId="0" xfId="0" applyFont="1"/>
    <xf numFmtId="1" fontId="3" fillId="0" borderId="0" xfId="0" applyNumberFormat="1" applyFont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abSelected="1" zoomScale="85" zoomScaleNormal="85" workbookViewId="0">
      <selection activeCell="D31" sqref="D31"/>
    </sheetView>
  </sheetViews>
  <sheetFormatPr baseColWidth="10" defaultColWidth="9.140625" defaultRowHeight="15" x14ac:dyDescent="0.25"/>
  <cols>
    <col min="1" max="1" width="14.28515625" customWidth="1"/>
    <col min="4" max="4" width="13.28515625" customWidth="1"/>
    <col min="7" max="7" width="12.140625" customWidth="1"/>
  </cols>
  <sheetData>
    <row r="1" spans="1:21" x14ac:dyDescent="0.25">
      <c r="A1" t="s">
        <v>0</v>
      </c>
      <c r="D1" t="s">
        <v>27</v>
      </c>
      <c r="G1" t="s">
        <v>42</v>
      </c>
      <c r="K1" t="s">
        <v>32</v>
      </c>
    </row>
    <row r="2" spans="1:21" x14ac:dyDescent="0.25">
      <c r="A2" t="s">
        <v>59</v>
      </c>
      <c r="B2" s="2">
        <v>300</v>
      </c>
      <c r="D2" t="s">
        <v>15</v>
      </c>
      <c r="E2" s="2">
        <v>175</v>
      </c>
      <c r="G2" t="s">
        <v>26</v>
      </c>
      <c r="H2" s="16">
        <f>H8-B19/1000*B27</f>
        <v>87.993600000000001</v>
      </c>
      <c r="S2" t="s">
        <v>50</v>
      </c>
      <c r="T2" t="s">
        <v>51</v>
      </c>
    </row>
    <row r="3" spans="1:21" x14ac:dyDescent="0.25">
      <c r="A3" t="s">
        <v>1</v>
      </c>
      <c r="B3" s="3">
        <v>50</v>
      </c>
      <c r="D3" s="21" t="s">
        <v>16</v>
      </c>
      <c r="E3" s="19">
        <v>102</v>
      </c>
      <c r="F3" s="15">
        <f>H2/E3</f>
        <v>0.86268235294117646</v>
      </c>
      <c r="G3" t="s">
        <v>44</v>
      </c>
      <c r="H3" s="14">
        <f>H8-(B21-B19/1000)*B27</f>
        <v>71.942399999999992</v>
      </c>
      <c r="K3" s="18" t="s">
        <v>47</v>
      </c>
      <c r="L3" t="s">
        <v>65</v>
      </c>
      <c r="M3" t="s">
        <v>66</v>
      </c>
      <c r="N3" t="s">
        <v>67</v>
      </c>
      <c r="O3" t="s">
        <v>68</v>
      </c>
      <c r="P3" t="s">
        <v>36</v>
      </c>
      <c r="Q3" t="s">
        <v>48</v>
      </c>
      <c r="R3" t="s">
        <v>49</v>
      </c>
      <c r="S3" t="s">
        <v>52</v>
      </c>
      <c r="T3" t="s">
        <v>52</v>
      </c>
    </row>
    <row r="4" spans="1:21" x14ac:dyDescent="0.25">
      <c r="A4" t="s">
        <v>2</v>
      </c>
      <c r="B4">
        <f>B2-B3</f>
        <v>250</v>
      </c>
      <c r="D4" s="21" t="s">
        <v>17</v>
      </c>
      <c r="E4" s="20">
        <v>177</v>
      </c>
      <c r="F4" s="15">
        <f>H8/E4</f>
        <v>0.50847457627118642</v>
      </c>
      <c r="G4" t="s">
        <v>31</v>
      </c>
      <c r="H4" s="16">
        <f>H9-H2*B19/1000</f>
        <v>113.80256</v>
      </c>
      <c r="K4">
        <v>1</v>
      </c>
      <c r="L4" s="5">
        <v>0</v>
      </c>
      <c r="M4" s="6">
        <v>0</v>
      </c>
      <c r="N4" s="6">
        <v>0</v>
      </c>
      <c r="O4" s="7">
        <v>4</v>
      </c>
      <c r="P4" s="14">
        <f>L4*$G$18+M4*$G$19+N4*$G$20+O4*$G$21</f>
        <v>546.36393975474664</v>
      </c>
      <c r="Q4" s="14">
        <f>P4*1000/($B$5*2)/$E$12</f>
        <v>136.59098493868666</v>
      </c>
      <c r="R4" s="14">
        <f>$B$11-Q4/2</f>
        <v>196.70450753065666</v>
      </c>
      <c r="S4" s="14">
        <f>P4*R4/1000</f>
        <v>107.47224970196679</v>
      </c>
      <c r="T4" s="14">
        <f>S4*1000/$B$7</f>
        <v>141.41085487100895</v>
      </c>
    </row>
    <row r="5" spans="1:21" x14ac:dyDescent="0.25">
      <c r="A5" t="s">
        <v>58</v>
      </c>
      <c r="B5" s="2">
        <v>120</v>
      </c>
      <c r="D5" t="s">
        <v>28</v>
      </c>
      <c r="G5" t="s">
        <v>30</v>
      </c>
      <c r="H5" s="16">
        <f>H10-B19/1000*H3</f>
        <v>91.223039999999997</v>
      </c>
      <c r="K5">
        <v>2</v>
      </c>
      <c r="L5" s="8">
        <v>0</v>
      </c>
      <c r="M5" s="9">
        <v>0</v>
      </c>
      <c r="N5" s="9">
        <v>0</v>
      </c>
      <c r="O5" s="10">
        <v>3</v>
      </c>
      <c r="P5" s="14">
        <f>L5*$G$18+M5*$G$19+N5*$G$20+O5*$G$21</f>
        <v>409.77295481605995</v>
      </c>
      <c r="Q5" s="14">
        <f>P5*1000/$B$7/$E$12</f>
        <v>32.350496432846839</v>
      </c>
      <c r="R5" s="14">
        <f>$B$12-Q5/2</f>
        <v>208.82475178357657</v>
      </c>
      <c r="S5" s="14">
        <f t="shared" ref="S5:S6" si="0">P5*R5/1000</f>
        <v>85.570735577086452</v>
      </c>
      <c r="T5" s="14">
        <f t="shared" ref="T5:T6" si="1">S5*1000/$B$7</f>
        <v>112.59307312774533</v>
      </c>
      <c r="U5" t="s">
        <v>53</v>
      </c>
    </row>
    <row r="6" spans="1:21" x14ac:dyDescent="0.25">
      <c r="A6" t="s">
        <v>6</v>
      </c>
      <c r="B6" s="3">
        <v>700</v>
      </c>
      <c r="K6">
        <v>3</v>
      </c>
      <c r="L6" s="11">
        <v>0</v>
      </c>
      <c r="M6" s="12">
        <v>0</v>
      </c>
      <c r="N6" s="12">
        <v>0</v>
      </c>
      <c r="O6" s="13">
        <v>0</v>
      </c>
      <c r="P6" s="14">
        <f>L6*$G$18+M6*$G$19+N6*$G$20+O6*$G$21</f>
        <v>0</v>
      </c>
      <c r="Q6" s="14">
        <f>P6*1000/$B$7/$E$12</f>
        <v>0</v>
      </c>
      <c r="R6" s="14">
        <f>$B$13-Q5-Q6/2</f>
        <v>162.64950356715315</v>
      </c>
      <c r="S6" s="14">
        <f t="shared" si="0"/>
        <v>0</v>
      </c>
      <c r="T6" s="14">
        <f t="shared" si="1"/>
        <v>0</v>
      </c>
      <c r="U6" t="s">
        <v>53</v>
      </c>
    </row>
    <row r="7" spans="1:21" x14ac:dyDescent="0.25">
      <c r="A7" t="s">
        <v>7</v>
      </c>
      <c r="B7">
        <f>B6+B5/2</f>
        <v>760</v>
      </c>
      <c r="D7" t="s">
        <v>8</v>
      </c>
      <c r="G7" t="s">
        <v>43</v>
      </c>
      <c r="K7" s="21" t="s">
        <v>54</v>
      </c>
      <c r="L7" s="22">
        <f>T4</f>
        <v>141.41085487100895</v>
      </c>
      <c r="M7" s="15">
        <f>H4/L7</f>
        <v>0.8047653774797382</v>
      </c>
    </row>
    <row r="8" spans="1:21" x14ac:dyDescent="0.25">
      <c r="A8" t="s">
        <v>5</v>
      </c>
      <c r="B8" s="2">
        <v>35</v>
      </c>
      <c r="D8" t="s">
        <v>9</v>
      </c>
      <c r="E8" s="2">
        <v>25</v>
      </c>
      <c r="G8" t="s">
        <v>26</v>
      </c>
      <c r="H8" s="2">
        <v>90</v>
      </c>
      <c r="I8" t="s">
        <v>46</v>
      </c>
      <c r="K8" s="21" t="s">
        <v>15</v>
      </c>
      <c r="L8" s="22">
        <f>IF(B19-100&gt;E20*10,T5+T6+E2,T5+T6+(B19-100)/(E20*10)*E2)</f>
        <v>243.84307312774533</v>
      </c>
      <c r="M8" s="15">
        <f>H5/L8</f>
        <v>0.37410552134983044</v>
      </c>
    </row>
    <row r="9" spans="1:21" x14ac:dyDescent="0.25">
      <c r="A9" t="s">
        <v>3</v>
      </c>
      <c r="B9" s="4">
        <v>40</v>
      </c>
      <c r="D9" t="s">
        <v>10</v>
      </c>
      <c r="E9" s="3">
        <v>500</v>
      </c>
      <c r="G9" t="s">
        <v>31</v>
      </c>
      <c r="H9" s="4">
        <v>149</v>
      </c>
    </row>
    <row r="10" spans="1:21" x14ac:dyDescent="0.25">
      <c r="A10" t="s">
        <v>4</v>
      </c>
      <c r="B10" s="3">
        <v>30</v>
      </c>
      <c r="D10" s="1" t="s">
        <v>11</v>
      </c>
      <c r="E10">
        <v>1.5</v>
      </c>
      <c r="G10" t="s">
        <v>30</v>
      </c>
      <c r="H10" s="3">
        <v>120</v>
      </c>
      <c r="K10" s="18" t="s">
        <v>55</v>
      </c>
    </row>
    <row r="11" spans="1:21" x14ac:dyDescent="0.25">
      <c r="A11" t="s">
        <v>18</v>
      </c>
      <c r="B11">
        <f>B2-B8</f>
        <v>265</v>
      </c>
      <c r="D11" s="1" t="s">
        <v>12</v>
      </c>
      <c r="E11">
        <v>1.1499999999999999</v>
      </c>
      <c r="K11" t="s">
        <v>56</v>
      </c>
      <c r="P11" t="s">
        <v>61</v>
      </c>
      <c r="Q11" t="s">
        <v>60</v>
      </c>
      <c r="S11" t="s">
        <v>50</v>
      </c>
      <c r="T11" t="s">
        <v>51</v>
      </c>
    </row>
    <row r="12" spans="1:21" x14ac:dyDescent="0.25">
      <c r="A12" t="s">
        <v>19</v>
      </c>
      <c r="B12">
        <f>B11-B9</f>
        <v>225</v>
      </c>
      <c r="D12" s="1" t="s">
        <v>13</v>
      </c>
      <c r="E12" s="15">
        <f>E8/E10</f>
        <v>16.666666666666668</v>
      </c>
      <c r="L12">
        <v>10</v>
      </c>
      <c r="M12">
        <v>12</v>
      </c>
      <c r="N12">
        <v>16</v>
      </c>
      <c r="O12">
        <v>20</v>
      </c>
      <c r="P12" t="s">
        <v>36</v>
      </c>
      <c r="Q12" t="s">
        <v>48</v>
      </c>
      <c r="R12" t="s">
        <v>49</v>
      </c>
      <c r="S12" t="s">
        <v>52</v>
      </c>
      <c r="T12" t="s">
        <v>52</v>
      </c>
    </row>
    <row r="13" spans="1:21" x14ac:dyDescent="0.25">
      <c r="A13" t="s">
        <v>20</v>
      </c>
      <c r="B13">
        <f>B12-B10</f>
        <v>195</v>
      </c>
      <c r="D13" s="1" t="s">
        <v>14</v>
      </c>
      <c r="E13" s="15">
        <f>E9/E11</f>
        <v>434.78260869565219</v>
      </c>
      <c r="K13">
        <v>1</v>
      </c>
      <c r="L13" s="5">
        <v>0</v>
      </c>
      <c r="M13" s="6">
        <v>0</v>
      </c>
      <c r="N13" s="6">
        <v>2</v>
      </c>
      <c r="O13" s="7">
        <v>0</v>
      </c>
      <c r="P13" s="14">
        <f>IF(B19+B15/2&gt;F21*10,L13*$G$18+M13*$G$19+N13*$G$20+O13*$G$21,IF(B19+B15/2&gt;F20*10,L13*$G$18+M13*$G$19+N13*$G$20+O13*$G$21*(B19+B15/2)/(F21*10),IF(B19+B15/2&gt;F19*10,L13*$G$18+M13*$G$19+N13*$G$20*(B19+B15/2)/(F20*10)+O13*$G$21*(B19+B15/2)/(F21*10),IF(B19+B15/2&gt;F18*10,L13*$G$18+M13*$G$19*(B19+B15/2)/(F19*10)+N13*$G$20*(B19+B15/2)/(F20*10)+O13*$G$21*(B19+B15/2)/(F21*10),L13*$G$18*(B19+B15/2)/(F18*10)+M13*$G$19*(B19+B15/2)/(F19*10)+N13*$G$20*(B19+B15/2)/(F20*10)+O13*$G$21*(B19+B15/2)/(F21*10)))))</f>
        <v>174.83646072151893</v>
      </c>
      <c r="Q13" s="14">
        <f>(P4+P13)*1000/($B$5*2)/$E$12</f>
        <v>180.3001001190664</v>
      </c>
      <c r="R13" s="14">
        <f>$B$11-Q13/2</f>
        <v>174.84994994046679</v>
      </c>
      <c r="S13" s="14">
        <f>(P13+P4)*R13/1000-S4</f>
        <v>18.629604218352853</v>
      </c>
      <c r="T13" s="14">
        <f>S13*1000/$B$7</f>
        <v>24.512637129411647</v>
      </c>
      <c r="U13" t="s">
        <v>61</v>
      </c>
    </row>
    <row r="14" spans="1:21" x14ac:dyDescent="0.25">
      <c r="A14" t="s">
        <v>57</v>
      </c>
      <c r="B14">
        <f>B11</f>
        <v>265</v>
      </c>
      <c r="K14">
        <v>4</v>
      </c>
      <c r="L14" s="11">
        <v>0</v>
      </c>
      <c r="M14" s="12">
        <v>4</v>
      </c>
      <c r="N14" s="12">
        <v>0</v>
      </c>
      <c r="O14" s="13">
        <v>0</v>
      </c>
      <c r="P14" s="14">
        <f>IF(B19&gt;E21*10,L14*$G$18+M14*$G$19+N14*$G$20+O14*$G$21,IF(B19&gt;E20*10,L14*$G$18+M14*$G$19+N14*$G$20+O14*$G$21*B19/(E21*10),IF(B19&gt;E19*10,L14*$G$18+M14*$G$19+N14*$G$20*B19/(E20*10)+O14*$G$21*B19/(E21*10),IF(B19&gt;E18*10,L14*$G$18+M14*$G$19*B19/(E19*10)+N14*$G$20*B19/(E20*10)+O14*$G$21*B19/(E21*10),L14*$G$18*B19/(E18*10)+M14*$G$19*B19/(E19*10)+N14*$G$20*B19/(E20*10)+O14*$G$21*B19/(E21*10)))))</f>
        <v>196.69101831170877</v>
      </c>
      <c r="Q14" s="14">
        <f>P14*1000/$B$7/$E$12</f>
        <v>15.528238287766481</v>
      </c>
      <c r="R14" s="14">
        <f>$B$14-Q5-Q6-Q14/2</f>
        <v>224.8853844232699</v>
      </c>
      <c r="S14" s="14">
        <f t="shared" ref="S14" si="2">P14*R14/1000</f>
        <v>44.232935265633046</v>
      </c>
      <c r="T14" s="14">
        <f t="shared" ref="T14" si="3">S14*1000/$B$7</f>
        <v>58.201230612675062</v>
      </c>
      <c r="U14" t="s">
        <v>53</v>
      </c>
    </row>
    <row r="15" spans="1:21" x14ac:dyDescent="0.25">
      <c r="A15" t="s">
        <v>21</v>
      </c>
      <c r="B15" s="2">
        <v>300</v>
      </c>
      <c r="D15" s="9" t="s">
        <v>33</v>
      </c>
      <c r="E15" s="9" t="s">
        <v>62</v>
      </c>
      <c r="F15" s="9"/>
      <c r="K15" s="21" t="s">
        <v>54</v>
      </c>
      <c r="L15" s="22">
        <f>L7+T13</f>
        <v>165.92349200042059</v>
      </c>
      <c r="M15" s="15">
        <f>H9/L15</f>
        <v>0.89800424402604972</v>
      </c>
      <c r="P15" s="14"/>
    </row>
    <row r="16" spans="1:21" x14ac:dyDescent="0.25">
      <c r="A16" t="s">
        <v>22</v>
      </c>
      <c r="B16" s="4">
        <v>400</v>
      </c>
      <c r="D16" s="23" t="s">
        <v>63</v>
      </c>
      <c r="E16" s="9" t="s">
        <v>34</v>
      </c>
      <c r="F16" s="9" t="s">
        <v>35</v>
      </c>
      <c r="G16" t="s">
        <v>71</v>
      </c>
      <c r="K16" s="21" t="s">
        <v>15</v>
      </c>
      <c r="L16" s="22">
        <f>L8+T14-E2</f>
        <v>127.04430374042039</v>
      </c>
      <c r="M16" s="15">
        <f>H10/L16</f>
        <v>0.94455238422327492</v>
      </c>
    </row>
    <row r="17" spans="1:7" x14ac:dyDescent="0.25">
      <c r="A17" t="s">
        <v>23</v>
      </c>
      <c r="B17" s="4">
        <v>1</v>
      </c>
      <c r="D17" s="24" t="s">
        <v>64</v>
      </c>
      <c r="E17" s="9" t="s">
        <v>69</v>
      </c>
      <c r="F17" s="9" t="s">
        <v>69</v>
      </c>
      <c r="G17" s="25" t="s">
        <v>70</v>
      </c>
    </row>
    <row r="18" spans="1:7" x14ac:dyDescent="0.25">
      <c r="A18" t="s">
        <v>24</v>
      </c>
      <c r="B18" s="3">
        <v>200</v>
      </c>
      <c r="D18" s="9">
        <v>10</v>
      </c>
      <c r="E18" s="9">
        <v>15</v>
      </c>
      <c r="F18" s="9">
        <v>20</v>
      </c>
      <c r="G18" s="14">
        <f>PI()*D18^2/4*$E$13/1000</f>
        <v>34.147746234671665</v>
      </c>
    </row>
    <row r="19" spans="1:7" x14ac:dyDescent="0.25">
      <c r="A19" t="s">
        <v>25</v>
      </c>
      <c r="B19">
        <f>B16-B15+100+B17*B18</f>
        <v>400</v>
      </c>
      <c r="D19" s="9">
        <v>12</v>
      </c>
      <c r="E19" s="9">
        <v>25</v>
      </c>
      <c r="F19" s="9">
        <v>35</v>
      </c>
      <c r="G19" s="14">
        <f>PI()*D19^2/4*$E$13/1000</f>
        <v>49.172754577927194</v>
      </c>
    </row>
    <row r="20" spans="1:7" x14ac:dyDescent="0.25">
      <c r="A20" t="s">
        <v>29</v>
      </c>
      <c r="D20" s="9">
        <v>16</v>
      </c>
      <c r="E20" s="9">
        <v>40</v>
      </c>
      <c r="F20" s="9">
        <v>55</v>
      </c>
      <c r="G20" s="14">
        <f>PI()*D20^2/4*$E$13/1000</f>
        <v>87.418230360759466</v>
      </c>
    </row>
    <row r="21" spans="1:7" x14ac:dyDescent="0.25">
      <c r="A21" t="s">
        <v>45</v>
      </c>
      <c r="B21" s="17">
        <v>4</v>
      </c>
      <c r="D21" s="9">
        <v>20</v>
      </c>
      <c r="E21" s="9">
        <v>60</v>
      </c>
      <c r="F21" s="9">
        <v>85</v>
      </c>
      <c r="G21" s="14">
        <f>PI()*D21^2/4*$E$13/1000</f>
        <v>136.59098493868666</v>
      </c>
    </row>
    <row r="23" spans="1:7" x14ac:dyDescent="0.25">
      <c r="A23" t="s">
        <v>37</v>
      </c>
    </row>
    <row r="24" spans="1:7" x14ac:dyDescent="0.25">
      <c r="A24" t="s">
        <v>38</v>
      </c>
      <c r="B24" s="2">
        <v>6</v>
      </c>
    </row>
    <row r="25" spans="1:7" x14ac:dyDescent="0.25">
      <c r="A25" t="s">
        <v>39</v>
      </c>
      <c r="B25" s="3">
        <v>2</v>
      </c>
    </row>
    <row r="26" spans="1:7" x14ac:dyDescent="0.25">
      <c r="A26" t="s">
        <v>41</v>
      </c>
      <c r="B26">
        <f>B24+0.3*B25</f>
        <v>6.6</v>
      </c>
    </row>
    <row r="27" spans="1:7" x14ac:dyDescent="0.25">
      <c r="A27" t="s">
        <v>40</v>
      </c>
      <c r="B27" s="15">
        <f>B26*B7/1000</f>
        <v>5.016</v>
      </c>
    </row>
  </sheetData>
  <conditionalFormatting sqref="M15:M16 M7:M8 F3:F4">
    <cfRule type="cellIs" dxfId="1" priority="1" operator="lessThan">
      <formula>1</formula>
    </cfRule>
    <cfRule type="cellIs" dxfId="0" priority="2" operator="greaterThan">
      <formula>1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2017-11-06T12:13:36Z</dcterms:modified>
</cp:coreProperties>
</file>