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Lab\T-Programación\Excel\Calculo Estadístico\Digibug\"/>
    </mc:Choice>
  </mc:AlternateContent>
  <workbookProtection workbookAlgorithmName="SHA-512" workbookHashValue="wM+4w9Wr6Gvyawr+1zwb8Z38eGrkp69r4FFvvTe2ROXs8t+ZzyWsn7IPj0ZZve0a4vX5HXI5iWiJwVQruzsC7w==" workbookSaltValue="uItD6YpMB4imK8la6OsIxw==" workbookSpinCount="100000" lockStructure="1"/>
  <bookViews>
    <workbookView xWindow="28680" yWindow="-120" windowWidth="19440" windowHeight="15150"/>
  </bookViews>
  <sheets>
    <sheet name="Presentación" sheetId="7" r:id="rId1"/>
    <sheet name="Inferencias" sheetId="1" r:id="rId2"/>
    <sheet name="CC" sheetId="8" r:id="rId3"/>
    <sheet name="MH0l" sheetId="2" state="hidden" r:id="rId4"/>
    <sheet name="Tabla ejercicios" sheetId="3" state="hidden" r:id="rId5"/>
    <sheet name="Banco de enunciados" sheetId="4" state="hidden" r:id="rId6"/>
    <sheet name="Lotes" sheetId="5" state="hidden" r:id="rId7"/>
  </sheets>
  <externalReferences>
    <externalReference r:id="rId8"/>
    <externalReference r:id="rId9"/>
    <externalReference r:id="rId10"/>
    <externalReference r:id="rId11"/>
  </externalReferences>
  <definedNames>
    <definedName name="a_1">'[1]Equivalencia de proporciones'!$C$7</definedName>
    <definedName name="a_2">'[1]Equivalencia de proporciones'!$D$7</definedName>
    <definedName name="C_1" localSheetId="2">#REF!</definedName>
    <definedName name="C_1">#REF!</definedName>
    <definedName name="C_2" localSheetId="2">#REF!</definedName>
    <definedName name="C_2">#REF!</definedName>
    <definedName name="Cap_1">#REF!</definedName>
    <definedName name="Cap_2">#REF!</definedName>
    <definedName name="d">'[1]Equivalencia de proporciones'!$D$19</definedName>
    <definedName name="F_1" localSheetId="2">#REF!</definedName>
    <definedName name="F_1">#REF!</definedName>
    <definedName name="F_2" localSheetId="2">#REF!</definedName>
    <definedName name="F_2">#REF!</definedName>
    <definedName name="Fap_1">#REF!</definedName>
    <definedName name="Fap_2">#REF!</definedName>
    <definedName name="kk">[2]MH0l!$E$9</definedName>
    <definedName name="mm">[3]RMA!$C$30</definedName>
    <definedName name="mm_12">#REF!</definedName>
    <definedName name="mm_c1">#REF!</definedName>
    <definedName name="mm_c2">#REF!</definedName>
    <definedName name="mm_f1">#REF!</definedName>
    <definedName name="mm_f2">#REF!</definedName>
    <definedName name="mm_o11">#REF!</definedName>
    <definedName name="mm_o21">#REF!</definedName>
    <definedName name="mm_o22">#REF!</definedName>
    <definedName name="mm_t1">[3]MH0ll!$K$2</definedName>
    <definedName name="mm_total">#REF!</definedName>
    <definedName name="n" localSheetId="2">'[1]IC- 1 proporción'!$C$8</definedName>
    <definedName name="n" localSheetId="6">[2]MH0l!$E$8</definedName>
    <definedName name="n">MH0l!$E$8</definedName>
    <definedName name="n_1">'[1]Equivalencia de proporciones'!$E$5</definedName>
    <definedName name="n_2">'[1]Equivalencia de proporciones'!$E$6</definedName>
    <definedName name="O_11" localSheetId="2">#REF!</definedName>
    <definedName name="O_11">#REF!</definedName>
    <definedName name="O_12" localSheetId="2">#REF!</definedName>
    <definedName name="O_12">#REF!</definedName>
    <definedName name="O_21" localSheetId="2">#REF!</definedName>
    <definedName name="O_21">#REF!</definedName>
    <definedName name="O_22" localSheetId="2">#REF!</definedName>
    <definedName name="O_22">#REF!</definedName>
    <definedName name="Oap_11">#REF!</definedName>
    <definedName name="Oap_12">#REF!</definedName>
    <definedName name="Oap_21">#REF!</definedName>
    <definedName name="Oap_22">#REF!</definedName>
    <definedName name="p" localSheetId="2">'[1]IC- 1 proporción'!$C$15</definedName>
    <definedName name="p" localSheetId="6">[2]MH0l!$E$18</definedName>
    <definedName name="p">MH0l!$E$18</definedName>
    <definedName name="po" localSheetId="6">[2]MH0l!$E$52</definedName>
    <definedName name="po">MH0l!$E$52</definedName>
    <definedName name="q" localSheetId="2">'[1]IC- 1 proporción'!$C$16</definedName>
    <definedName name="q" localSheetId="6">[2]MH0l!$E$19</definedName>
    <definedName name="q">MH0l!$E$19</definedName>
    <definedName name="sep">[4]Examenes!$O$3</definedName>
    <definedName name="t" localSheetId="2">'[1]IC- 1 proporción'!$C$11</definedName>
    <definedName name="t" localSheetId="6">[2]MH0l!$E$13</definedName>
    <definedName name="t">MH0l!$E$13</definedName>
    <definedName name="Total" localSheetId="2">#REF!</definedName>
    <definedName name="Total">#REF!</definedName>
    <definedName name="TotalAp">#REF!</definedName>
    <definedName name="x" localSheetId="2">'[1]IC- 1 proporción'!$C$9</definedName>
    <definedName name="x" localSheetId="6">[2]MH0l!$E$9</definedName>
    <definedName name="x">MH0l!$E$9</definedName>
    <definedName name="x_1">'[1]Equivalencia de proporciones'!$C$5</definedName>
    <definedName name="x_2">'[1]Equivalencia de proporciones'!$C$6</definedName>
    <definedName name="y_1">'[1]Equivalencia de proporciones'!$D$5</definedName>
    <definedName name="y_2">'[1]Equivalencia de proporciones'!$D$6</definedName>
  </definedNames>
  <calcPr calcId="152511"/>
  <fileRecoveryPr autoRecover="0"/>
</workbook>
</file>

<file path=xl/calcChain.xml><?xml version="1.0" encoding="utf-8"?>
<calcChain xmlns="http://schemas.openxmlformats.org/spreadsheetml/2006/main">
  <c r="F58" i="2" l="1"/>
  <c r="G48" i="1" l="1"/>
  <c r="G41" i="1"/>
  <c r="H41" i="1"/>
  <c r="D32" i="1"/>
  <c r="F32" i="1"/>
  <c r="E36" i="1"/>
  <c r="F41" i="2"/>
  <c r="E41" i="2" s="1"/>
  <c r="J42" i="2" s="1"/>
  <c r="H14" i="2"/>
  <c r="E12" i="2" s="1"/>
  <c r="G12" i="2" s="1"/>
  <c r="G5" i="7"/>
  <c r="D29" i="7"/>
  <c r="B1" i="1"/>
  <c r="D1" i="1"/>
  <c r="D36" i="1" l="1"/>
  <c r="G103" i="2"/>
  <c r="E42" i="2"/>
  <c r="I7" i="5" l="1"/>
  <c r="H7" i="5"/>
  <c r="L6" i="5"/>
  <c r="Q6" i="5" s="1"/>
  <c r="K6" i="5"/>
  <c r="P6" i="5" s="1"/>
  <c r="J6" i="5"/>
  <c r="O6" i="5" s="1"/>
  <c r="Y23" i="2"/>
  <c r="Y22" i="2"/>
  <c r="D27" i="1"/>
  <c r="N27" i="1" s="1"/>
  <c r="N11" i="5" l="1"/>
  <c r="Q19" i="1"/>
  <c r="P21" i="1" s="1"/>
  <c r="O5" i="5" s="1"/>
  <c r="I5" i="3" l="1"/>
  <c r="L5" i="3" s="1"/>
  <c r="J35" i="1"/>
  <c r="G36" i="1"/>
  <c r="H36" i="1"/>
  <c r="I36" i="1"/>
  <c r="J36" i="1"/>
  <c r="G117" i="2"/>
  <c r="H107" i="2"/>
  <c r="G107" i="2"/>
  <c r="C43" i="3" l="1"/>
  <c r="C46" i="3" s="1"/>
  <c r="C49" i="3" s="1"/>
  <c r="C52" i="3" s="1"/>
  <c r="P44" i="3"/>
  <c r="P7" i="3"/>
  <c r="E7" i="3"/>
  <c r="D7" i="3"/>
  <c r="E9" i="2"/>
  <c r="N91" i="2" s="1"/>
  <c r="N92" i="2" s="1"/>
  <c r="G47" i="1"/>
  <c r="E58" i="2"/>
  <c r="H58" i="2" s="1"/>
  <c r="E59" i="2"/>
  <c r="G46" i="1"/>
  <c r="H46" i="1"/>
  <c r="I46" i="1"/>
  <c r="I47" i="1"/>
  <c r="H48" i="1"/>
  <c r="G49" i="1"/>
  <c r="H49" i="1"/>
  <c r="I49" i="1"/>
  <c r="D47" i="1"/>
  <c r="D48" i="1"/>
  <c r="D49" i="1"/>
  <c r="C47" i="1"/>
  <c r="C48" i="1"/>
  <c r="C49" i="1"/>
  <c r="C50" i="1"/>
  <c r="D50" i="1"/>
  <c r="G50" i="1"/>
  <c r="H50" i="1"/>
  <c r="C51" i="1"/>
  <c r="D51" i="1"/>
  <c r="G51" i="1"/>
  <c r="H51" i="1"/>
  <c r="C52" i="1"/>
  <c r="D52" i="1"/>
  <c r="G52" i="1"/>
  <c r="H52" i="1"/>
  <c r="C53" i="1"/>
  <c r="D53" i="1"/>
  <c r="E53" i="1"/>
  <c r="G53" i="1"/>
  <c r="H53" i="1"/>
  <c r="D46" i="1"/>
  <c r="C46" i="1"/>
  <c r="C40" i="1"/>
  <c r="E40" i="1"/>
  <c r="G40" i="1"/>
  <c r="D40" i="1"/>
  <c r="I39" i="1"/>
  <c r="J39" i="1"/>
  <c r="C41" i="1"/>
  <c r="E51" i="2"/>
  <c r="C42" i="1"/>
  <c r="D42" i="1"/>
  <c r="E53" i="2"/>
  <c r="F53" i="2" s="1"/>
  <c r="G42" i="1" s="1"/>
  <c r="C43" i="1"/>
  <c r="D43" i="1"/>
  <c r="E8" i="2"/>
  <c r="N94" i="2" s="1"/>
  <c r="G43" i="1"/>
  <c r="H43" i="1"/>
  <c r="I41" i="1"/>
  <c r="J41" i="1"/>
  <c r="C44" i="1"/>
  <c r="D44" i="1"/>
  <c r="H44" i="1"/>
  <c r="D14" i="1"/>
  <c r="E14" i="1"/>
  <c r="G14" i="1"/>
  <c r="J31" i="1"/>
  <c r="K31" i="1"/>
  <c r="C69" i="2"/>
  <c r="I26" i="1"/>
  <c r="H9" i="3" s="1"/>
  <c r="I23" i="1"/>
  <c r="E22" i="1"/>
  <c r="G22" i="1"/>
  <c r="H22" i="1"/>
  <c r="I22" i="1"/>
  <c r="H6" i="3" s="1"/>
  <c r="M22" i="1"/>
  <c r="M23" i="1"/>
  <c r="M24" i="1"/>
  <c r="M25" i="1"/>
  <c r="M26" i="1"/>
  <c r="D23" i="1"/>
  <c r="D24" i="1"/>
  <c r="N8" i="5" s="1"/>
  <c r="D25" i="1"/>
  <c r="N9" i="5" s="1"/>
  <c r="D26" i="1"/>
  <c r="N10" i="5" s="1"/>
  <c r="D22" i="1"/>
  <c r="G6" i="3" s="1"/>
  <c r="R24" i="2"/>
  <c r="L22" i="1" s="1"/>
  <c r="N6" i="3" s="1"/>
  <c r="Q24" i="2"/>
  <c r="K22" i="1" s="1"/>
  <c r="M6" i="3" s="1"/>
  <c r="P24" i="2"/>
  <c r="J22" i="1" s="1"/>
  <c r="L6" i="3" s="1"/>
  <c r="N1" i="1"/>
  <c r="O1" i="1"/>
  <c r="P1" i="1"/>
  <c r="Q1" i="1"/>
  <c r="A4" i="1"/>
  <c r="B4" i="1"/>
  <c r="C4" i="1"/>
  <c r="D4" i="1"/>
  <c r="E4" i="1"/>
  <c r="G4" i="1"/>
  <c r="H4" i="1"/>
  <c r="I4" i="1"/>
  <c r="J4" i="1"/>
  <c r="K4" i="1"/>
  <c r="L4" i="1"/>
  <c r="M4" i="1"/>
  <c r="N4" i="1"/>
  <c r="O4" i="1"/>
  <c r="P4" i="1"/>
  <c r="Q4" i="1"/>
  <c r="R4" i="1"/>
  <c r="S4" i="1"/>
  <c r="B5" i="1"/>
  <c r="C5" i="1"/>
  <c r="G5" i="1"/>
  <c r="H5" i="1"/>
  <c r="I5" i="1"/>
  <c r="J5" i="1"/>
  <c r="K5" i="1"/>
  <c r="L5" i="1"/>
  <c r="M5" i="1"/>
  <c r="N5" i="1"/>
  <c r="O5" i="1"/>
  <c r="P5" i="1"/>
  <c r="Q5" i="1"/>
  <c r="R5" i="1"/>
  <c r="S5" i="1"/>
  <c r="A6" i="1"/>
  <c r="B6" i="1"/>
  <c r="C6" i="1"/>
  <c r="D6" i="1"/>
  <c r="E6" i="1"/>
  <c r="G6" i="1"/>
  <c r="H6" i="1"/>
  <c r="R6" i="1"/>
  <c r="S6" i="1"/>
  <c r="A7" i="1"/>
  <c r="B7" i="1"/>
  <c r="C7" i="1"/>
  <c r="D7" i="1"/>
  <c r="G7" i="1"/>
  <c r="H7" i="1"/>
  <c r="I7" i="1"/>
  <c r="A8" i="1"/>
  <c r="B8" i="1"/>
  <c r="C8" i="1"/>
  <c r="D8" i="1"/>
  <c r="G8" i="1"/>
  <c r="H8" i="1"/>
  <c r="I8" i="1"/>
  <c r="A9" i="1"/>
  <c r="B9" i="1"/>
  <c r="C9" i="1"/>
  <c r="D9" i="1"/>
  <c r="G9" i="1"/>
  <c r="H9" i="1"/>
  <c r="I9" i="1"/>
  <c r="J9" i="1"/>
  <c r="K9" i="1"/>
  <c r="L9" i="1"/>
  <c r="M9" i="1"/>
  <c r="N9" i="1"/>
  <c r="A10" i="1"/>
  <c r="B10" i="1"/>
  <c r="C10" i="1"/>
  <c r="D10" i="1"/>
  <c r="E10" i="1"/>
  <c r="G10" i="1"/>
  <c r="H10" i="1"/>
  <c r="I10" i="1"/>
  <c r="J10" i="1"/>
  <c r="K10" i="1"/>
  <c r="L10" i="1"/>
  <c r="M10" i="1"/>
  <c r="N10" i="1"/>
  <c r="R10" i="1"/>
  <c r="A11" i="1"/>
  <c r="B11" i="1"/>
  <c r="C11" i="1"/>
  <c r="D11" i="1"/>
  <c r="K11" i="1"/>
  <c r="L11" i="1"/>
  <c r="M11" i="1"/>
  <c r="N11" i="1"/>
  <c r="R11" i="1"/>
  <c r="A12" i="1"/>
  <c r="B12" i="1"/>
  <c r="C12" i="1"/>
  <c r="G12" i="1"/>
  <c r="H12" i="1"/>
  <c r="I12" i="1"/>
  <c r="J12" i="1"/>
  <c r="K12" i="1"/>
  <c r="L12" i="1"/>
  <c r="M12" i="1"/>
  <c r="N12" i="1"/>
  <c r="O12" i="1"/>
  <c r="P12" i="1"/>
  <c r="Q12" i="1"/>
  <c r="R12" i="1"/>
  <c r="A14" i="1"/>
  <c r="B14" i="1"/>
  <c r="C14" i="1"/>
  <c r="H14" i="1"/>
  <c r="I14" i="1"/>
  <c r="J14" i="1"/>
  <c r="K14" i="1"/>
  <c r="L14" i="1"/>
  <c r="M14" i="1"/>
  <c r="Q14" i="1"/>
  <c r="R14" i="1"/>
  <c r="S14" i="1"/>
  <c r="A15" i="1"/>
  <c r="B15" i="1"/>
  <c r="C15" i="1"/>
  <c r="G15" i="1"/>
  <c r="H15" i="1"/>
  <c r="I15" i="1"/>
  <c r="J15" i="1"/>
  <c r="L15" i="1"/>
  <c r="M15" i="1"/>
  <c r="N15" i="1"/>
  <c r="O15" i="1"/>
  <c r="P15" i="1"/>
  <c r="A16" i="1"/>
  <c r="B16" i="1"/>
  <c r="C16" i="1"/>
  <c r="D16" i="1"/>
  <c r="H16" i="1"/>
  <c r="I16" i="1"/>
  <c r="J16" i="1"/>
  <c r="L16" i="1"/>
  <c r="M16" i="1"/>
  <c r="N16" i="1"/>
  <c r="O16" i="1"/>
  <c r="P16" i="1"/>
  <c r="A17" i="1"/>
  <c r="B17" i="1"/>
  <c r="C17" i="1"/>
  <c r="D17" i="1"/>
  <c r="H17" i="1"/>
  <c r="I17" i="1"/>
  <c r="L17" i="1"/>
  <c r="M17" i="1"/>
  <c r="N17" i="1"/>
  <c r="O17" i="1"/>
  <c r="P17" i="1"/>
  <c r="Q17" i="1"/>
  <c r="A18" i="1"/>
  <c r="B18" i="1"/>
  <c r="C18" i="1"/>
  <c r="D18" i="1"/>
  <c r="E18" i="1"/>
  <c r="G18" i="1"/>
  <c r="H18" i="1"/>
  <c r="I18" i="1"/>
  <c r="J18" i="1"/>
  <c r="K18" i="1"/>
  <c r="L18" i="1"/>
  <c r="Q18" i="1"/>
  <c r="A19" i="1"/>
  <c r="B19" i="1"/>
  <c r="C19" i="1"/>
  <c r="I19" i="1"/>
  <c r="J19" i="1"/>
  <c r="K19" i="1"/>
  <c r="L19" i="1"/>
  <c r="M19" i="1"/>
  <c r="A20" i="1"/>
  <c r="B20" i="1"/>
  <c r="C20" i="1"/>
  <c r="E20" i="1"/>
  <c r="G20" i="1"/>
  <c r="H20" i="1"/>
  <c r="I20" i="1"/>
  <c r="J20" i="1"/>
  <c r="K20" i="1"/>
  <c r="L20" i="1"/>
  <c r="M20" i="1"/>
  <c r="N20" i="1"/>
  <c r="P20" i="1"/>
  <c r="Q20" i="1"/>
  <c r="A21" i="1"/>
  <c r="B21" i="1"/>
  <c r="A22" i="1"/>
  <c r="B22" i="1"/>
  <c r="A23" i="1"/>
  <c r="B23" i="1"/>
  <c r="A24" i="1"/>
  <c r="B24" i="1"/>
  <c r="A25" i="1"/>
  <c r="B25" i="1"/>
  <c r="A26" i="1"/>
  <c r="B26" i="1"/>
  <c r="A29" i="1"/>
  <c r="B29" i="1"/>
  <c r="C29" i="1"/>
  <c r="D29" i="1"/>
  <c r="E29" i="1"/>
  <c r="G29" i="1"/>
  <c r="H29" i="1"/>
  <c r="I29" i="1"/>
  <c r="J29" i="1"/>
  <c r="K29" i="1"/>
  <c r="L29" i="1"/>
  <c r="M29" i="1"/>
  <c r="N29" i="1"/>
  <c r="O29" i="1"/>
  <c r="P29" i="1"/>
  <c r="Q29" i="1"/>
  <c r="A30" i="1"/>
  <c r="B30" i="1"/>
  <c r="C30" i="1"/>
  <c r="J30" i="1"/>
  <c r="K30" i="1"/>
  <c r="L30" i="1"/>
  <c r="M30" i="1"/>
  <c r="N30" i="1"/>
  <c r="O30" i="1"/>
  <c r="P30" i="1"/>
  <c r="Q30" i="1"/>
  <c r="A31" i="1"/>
  <c r="B31" i="1"/>
  <c r="C31" i="1"/>
  <c r="D31" i="1"/>
  <c r="E31" i="1"/>
  <c r="G31" i="1"/>
  <c r="H31" i="1"/>
  <c r="I31" i="1"/>
  <c r="L31" i="1"/>
  <c r="M31" i="1"/>
  <c r="N31" i="1"/>
  <c r="O31" i="1"/>
  <c r="P31" i="1"/>
  <c r="Q31" i="1"/>
  <c r="A32" i="1"/>
  <c r="B32" i="1"/>
  <c r="C32" i="1"/>
  <c r="G32" i="1"/>
  <c r="H32" i="1"/>
  <c r="I32" i="1"/>
  <c r="Q32" i="1"/>
  <c r="A33" i="1"/>
  <c r="B33" i="1"/>
  <c r="C33" i="1"/>
  <c r="D33" i="1"/>
  <c r="H33" i="1"/>
  <c r="I33" i="1"/>
  <c r="K33" i="1"/>
  <c r="L33" i="1"/>
  <c r="M33" i="1"/>
  <c r="N33" i="1"/>
  <c r="O33" i="1"/>
  <c r="P33" i="1"/>
  <c r="Q33" i="1"/>
  <c r="A34" i="1"/>
  <c r="B34" i="1"/>
  <c r="C34" i="1"/>
  <c r="D34" i="1"/>
  <c r="L34" i="1"/>
  <c r="M34" i="1"/>
  <c r="N34" i="1"/>
  <c r="O34" i="1"/>
  <c r="P34" i="1"/>
  <c r="Q34" i="1"/>
  <c r="A36" i="1"/>
  <c r="B36" i="1"/>
  <c r="C36" i="1"/>
  <c r="J34" i="1"/>
  <c r="L36" i="1"/>
  <c r="M36" i="1"/>
  <c r="N36" i="1"/>
  <c r="O36" i="1"/>
  <c r="P36" i="1"/>
  <c r="Q36" i="1"/>
  <c r="A38" i="1"/>
  <c r="B38" i="1"/>
  <c r="C38" i="1"/>
  <c r="K38" i="1"/>
  <c r="L38" i="1"/>
  <c r="M38" i="1"/>
  <c r="N38" i="1"/>
  <c r="O38" i="1"/>
  <c r="P38" i="1"/>
  <c r="Q38" i="1"/>
  <c r="A39" i="1"/>
  <c r="B39" i="1"/>
  <c r="K39" i="1"/>
  <c r="L39" i="1"/>
  <c r="M39" i="1"/>
  <c r="N39" i="1"/>
  <c r="O39" i="1"/>
  <c r="P39" i="1"/>
  <c r="Q39" i="1"/>
  <c r="A40" i="1"/>
  <c r="B40" i="1"/>
  <c r="N40" i="1"/>
  <c r="O40" i="1"/>
  <c r="P40" i="1"/>
  <c r="Q40" i="1"/>
  <c r="B41" i="1"/>
  <c r="B42" i="1"/>
  <c r="B56" i="1"/>
  <c r="C56" i="1"/>
  <c r="D56" i="1"/>
  <c r="E56" i="1"/>
  <c r="G56" i="1"/>
  <c r="H56" i="1"/>
  <c r="I56" i="1"/>
  <c r="J56" i="1"/>
  <c r="E32" i="2"/>
  <c r="E33" i="2"/>
  <c r="J80" i="2"/>
  <c r="K81" i="2"/>
  <c r="H59" i="2" l="1"/>
  <c r="J59" i="2" s="1"/>
  <c r="J60" i="2" s="1"/>
  <c r="E61" i="2" s="1"/>
  <c r="E50" i="1" s="1"/>
  <c r="E52" i="2"/>
  <c r="F52" i="2"/>
  <c r="N23" i="1"/>
  <c r="N7" i="5"/>
  <c r="G7" i="3"/>
  <c r="N24" i="1"/>
  <c r="G9" i="3"/>
  <c r="N26" i="1"/>
  <c r="G8" i="3"/>
  <c r="N25" i="1"/>
  <c r="F81" i="2"/>
  <c r="N93" i="2"/>
  <c r="K6" i="3"/>
  <c r="Q22" i="1"/>
  <c r="J6" i="3"/>
  <c r="P22" i="1"/>
  <c r="I6" i="3"/>
  <c r="O22" i="1"/>
  <c r="C14" i="3"/>
  <c r="J63" i="2"/>
  <c r="K63" i="2" s="1"/>
  <c r="J62" i="2"/>
  <c r="J32" i="1"/>
  <c r="F7" i="3"/>
  <c r="E87" i="2"/>
  <c r="E82" i="2"/>
  <c r="E18" i="2"/>
  <c r="M94" i="2" s="1"/>
  <c r="O94" i="2" s="1"/>
  <c r="P94" i="2" s="1"/>
  <c r="F99" i="2"/>
  <c r="J9" i="2"/>
  <c r="E99" i="2"/>
  <c r="E86" i="2"/>
  <c r="D99" i="2"/>
  <c r="E10" i="2"/>
  <c r="I9" i="2"/>
  <c r="G93" i="2"/>
  <c r="E81" i="2"/>
  <c r="O29" i="2" l="1"/>
  <c r="E54" i="2"/>
  <c r="E43" i="1" s="1"/>
  <c r="K62" i="2"/>
  <c r="L62" i="2" s="1"/>
  <c r="L63" i="2" s="1"/>
  <c r="K9" i="2"/>
  <c r="D93" i="2"/>
  <c r="E16" i="1"/>
  <c r="E19" i="2"/>
  <c r="F18" i="2"/>
  <c r="G16" i="1" s="1"/>
  <c r="H99" i="2"/>
  <c r="R9" i="2"/>
  <c r="S27" i="2"/>
  <c r="O27" i="2" s="1"/>
  <c r="F82" i="2"/>
  <c r="S26" i="2"/>
  <c r="O26" i="2" s="1"/>
  <c r="E9" i="1"/>
  <c r="O21" i="1" l="1"/>
  <c r="O7" i="5" s="1"/>
  <c r="O8" i="5" s="1"/>
  <c r="O9" i="5" s="1"/>
  <c r="O10" i="5" s="1"/>
  <c r="I27" i="1"/>
  <c r="E55" i="2"/>
  <c r="E44" i="1" s="1"/>
  <c r="E17" i="1"/>
  <c r="I24" i="1"/>
  <c r="H7" i="3" s="1"/>
  <c r="I25" i="1"/>
  <c r="H8" i="3" s="1"/>
  <c r="E62" i="2"/>
  <c r="F19" i="2"/>
  <c r="G17" i="1" s="1"/>
  <c r="K31" i="2"/>
  <c r="F93" i="2"/>
  <c r="E49" i="2"/>
  <c r="E38" i="1" s="1"/>
  <c r="S8" i="1"/>
  <c r="F31" i="2"/>
  <c r="J7" i="5" l="1"/>
  <c r="O11" i="5"/>
  <c r="E51" i="1"/>
  <c r="D1" i="5" l="1"/>
  <c r="D5" i="5"/>
  <c r="D13" i="5"/>
  <c r="D21" i="5"/>
  <c r="D29" i="5"/>
  <c r="D8" i="5"/>
  <c r="D16" i="5"/>
  <c r="D24" i="5"/>
  <c r="D32" i="5"/>
  <c r="D19" i="5"/>
  <c r="D6" i="5"/>
  <c r="D14" i="5"/>
  <c r="D22" i="5"/>
  <c r="D30" i="5"/>
  <c r="D20" i="5"/>
  <c r="D27" i="5"/>
  <c r="D9" i="5"/>
  <c r="D17" i="5"/>
  <c r="D25" i="5"/>
  <c r="D12" i="5"/>
  <c r="D28" i="5"/>
  <c r="D15" i="5"/>
  <c r="D23" i="5"/>
  <c r="D31" i="5"/>
  <c r="D7" i="5"/>
  <c r="D10" i="5"/>
  <c r="D26" i="5"/>
  <c r="D4" i="5"/>
  <c r="D11" i="5"/>
  <c r="D40" i="2"/>
  <c r="D30" i="1" s="1"/>
  <c r="G11" i="1"/>
  <c r="M91" i="2"/>
  <c r="M93" i="2" s="1"/>
  <c r="R8" i="2"/>
  <c r="E13" i="2" s="1"/>
  <c r="O93" i="2" l="1"/>
  <c r="P93" i="2" s="1"/>
  <c r="Q93" i="2" s="1"/>
  <c r="M29" i="2" s="1"/>
  <c r="G27" i="1" s="1"/>
  <c r="P27" i="1" s="1"/>
  <c r="Q11" i="5" s="1"/>
  <c r="M92" i="2"/>
  <c r="O92" i="2" s="1"/>
  <c r="P92" i="2" s="1"/>
  <c r="Q92" i="2" s="1"/>
  <c r="L29" i="2" s="1"/>
  <c r="E27" i="1" s="1"/>
  <c r="O27" i="1" s="1"/>
  <c r="P11" i="5" s="1"/>
  <c r="D25" i="2"/>
  <c r="D28" i="1" s="1"/>
  <c r="D31" i="2"/>
  <c r="D81" i="2"/>
  <c r="M30" i="2"/>
  <c r="Q30" i="2" s="1"/>
  <c r="N30" i="2"/>
  <c r="R30" i="2" s="1"/>
  <c r="D86" i="2"/>
  <c r="E12" i="1"/>
  <c r="F43" i="2"/>
  <c r="G33" i="1" s="1"/>
  <c r="R7" i="3" s="1"/>
  <c r="L30" i="2"/>
  <c r="P30" i="2" s="1"/>
  <c r="F86" i="2"/>
  <c r="F87" i="2" s="1"/>
  <c r="E60" i="2"/>
  <c r="E103" i="2"/>
  <c r="I103" i="2" s="1"/>
  <c r="G86" i="2"/>
  <c r="G87" i="2"/>
  <c r="E93" i="2"/>
  <c r="Q29" i="2" l="1"/>
  <c r="K27" i="1" s="1"/>
  <c r="N29" i="2"/>
  <c r="G82" i="2"/>
  <c r="K79" i="2" s="1"/>
  <c r="K82" i="2" s="1"/>
  <c r="F26" i="2" s="1"/>
  <c r="J81" i="2"/>
  <c r="K80" i="2" s="1"/>
  <c r="G81" i="2"/>
  <c r="J79" i="2" s="1"/>
  <c r="J82" i="2" s="1"/>
  <c r="F25" i="2" s="1"/>
  <c r="P29" i="2"/>
  <c r="J27" i="1" s="1"/>
  <c r="I43" i="2"/>
  <c r="E49" i="1"/>
  <c r="F63" i="2"/>
  <c r="E63" i="2" s="1"/>
  <c r="E52" i="1" s="1"/>
  <c r="H92" i="2"/>
  <c r="I92" i="2"/>
  <c r="G99" i="2"/>
  <c r="I99" i="2" s="1"/>
  <c r="H86" i="2"/>
  <c r="D87" i="2"/>
  <c r="I86" i="2" s="1"/>
  <c r="R29" i="2"/>
  <c r="L27" i="1" s="1"/>
  <c r="H27" i="1"/>
  <c r="Q27" i="1" s="1"/>
  <c r="R11" i="5" s="1"/>
  <c r="M9" i="2" l="1"/>
  <c r="L25" i="2"/>
  <c r="E23" i="1" s="1"/>
  <c r="O23" i="1" s="1"/>
  <c r="P7" i="5" s="1"/>
  <c r="K7" i="5" s="1"/>
  <c r="S12" i="2"/>
  <c r="G25" i="2"/>
  <c r="P25" i="2" s="1"/>
  <c r="J23" i="1" s="1"/>
  <c r="M25" i="2"/>
  <c r="G23" i="1" s="1"/>
  <c r="P23" i="1" s="1"/>
  <c r="Q7" i="5" s="1"/>
  <c r="L7" i="5" s="1"/>
  <c r="N9" i="2"/>
  <c r="S11" i="2"/>
  <c r="F27" i="2"/>
  <c r="G26" i="2"/>
  <c r="Q25" i="2" s="1"/>
  <c r="K23" i="1" s="1"/>
  <c r="F33" i="2"/>
  <c r="M26" i="2"/>
  <c r="F89" i="2"/>
  <c r="E89" i="2" s="1"/>
  <c r="N26" i="2" s="1"/>
  <c r="I87" i="2"/>
  <c r="H93" i="2"/>
  <c r="L27" i="2"/>
  <c r="H87" i="2"/>
  <c r="F32" i="2"/>
  <c r="G32" i="2" s="1"/>
  <c r="L26" i="2"/>
  <c r="F95" i="2"/>
  <c r="E95" i="2" s="1"/>
  <c r="N27" i="2" s="1"/>
  <c r="I93" i="2"/>
  <c r="M27" i="2"/>
  <c r="N28" i="2"/>
  <c r="J99" i="2"/>
  <c r="L28" i="2" s="1"/>
  <c r="K99" i="2"/>
  <c r="M28" i="2" s="1"/>
  <c r="L9" i="2" l="1"/>
  <c r="N25" i="2"/>
  <c r="H23" i="1" s="1"/>
  <c r="Q23" i="1" s="1"/>
  <c r="R7" i="5" s="1"/>
  <c r="G27" i="2"/>
  <c r="R25" i="2" s="1"/>
  <c r="L23" i="1" s="1"/>
  <c r="F26" i="5"/>
  <c r="F20" i="5"/>
  <c r="F14" i="5"/>
  <c r="F27" i="5"/>
  <c r="F15" i="5"/>
  <c r="F6" i="5"/>
  <c r="F8" i="5"/>
  <c r="F16" i="5"/>
  <c r="F10" i="5"/>
  <c r="F25" i="5"/>
  <c r="F29" i="5"/>
  <c r="F31" i="5"/>
  <c r="F4" i="5"/>
  <c r="F13" i="5"/>
  <c r="F28" i="5"/>
  <c r="F24" i="5"/>
  <c r="F22" i="5"/>
  <c r="F12" i="5"/>
  <c r="F32" i="5"/>
  <c r="F9" i="5"/>
  <c r="F5" i="5"/>
  <c r="F23" i="5"/>
  <c r="F7" i="5"/>
  <c r="F21" i="5"/>
  <c r="F1" i="5"/>
  <c r="F19" i="5"/>
  <c r="F11" i="5"/>
  <c r="F17" i="5"/>
  <c r="F30" i="5"/>
  <c r="E26" i="5"/>
  <c r="E5" i="5"/>
  <c r="E8" i="5"/>
  <c r="E7" i="5"/>
  <c r="E22" i="5"/>
  <c r="E16" i="5"/>
  <c r="E13" i="5"/>
  <c r="E19" i="5"/>
  <c r="E20" i="5"/>
  <c r="E10" i="5"/>
  <c r="E31" i="5"/>
  <c r="E4" i="5"/>
  <c r="E12" i="5"/>
  <c r="E32" i="5"/>
  <c r="E25" i="5"/>
  <c r="E23" i="5"/>
  <c r="E15" i="5"/>
  <c r="E6" i="5"/>
  <c r="E17" i="5"/>
  <c r="E11" i="5"/>
  <c r="E1" i="5"/>
  <c r="E21" i="5"/>
  <c r="E29" i="5"/>
  <c r="E9" i="5"/>
  <c r="E30" i="5"/>
  <c r="E27" i="5"/>
  <c r="E14" i="5"/>
  <c r="E24" i="5"/>
  <c r="E28" i="5"/>
  <c r="G108" i="2"/>
  <c r="G110" i="2" s="1"/>
  <c r="P28" i="2"/>
  <c r="J26" i="1" s="1"/>
  <c r="L9" i="3" s="1"/>
  <c r="E26" i="1"/>
  <c r="R27" i="2"/>
  <c r="L25" i="1" s="1"/>
  <c r="N8" i="3" s="1"/>
  <c r="H25" i="1"/>
  <c r="E24" i="1"/>
  <c r="P26" i="2"/>
  <c r="J24" i="1" s="1"/>
  <c r="L7" i="3" s="1"/>
  <c r="E108" i="2"/>
  <c r="E110" i="2" s="1"/>
  <c r="P27" i="2"/>
  <c r="J25" i="1" s="1"/>
  <c r="L8" i="3" s="1"/>
  <c r="E25" i="1"/>
  <c r="Q28" i="2"/>
  <c r="K26" i="1" s="1"/>
  <c r="M9" i="3" s="1"/>
  <c r="G26" i="1"/>
  <c r="G109" i="2"/>
  <c r="G111" i="2" s="1"/>
  <c r="G114" i="2" s="1"/>
  <c r="H114" i="2" s="1"/>
  <c r="H26" i="1"/>
  <c r="R28" i="2"/>
  <c r="L26" i="1" s="1"/>
  <c r="N9" i="3" s="1"/>
  <c r="Q27" i="2"/>
  <c r="K25" i="1" s="1"/>
  <c r="M8" i="3" s="1"/>
  <c r="G25" i="1"/>
  <c r="R26" i="2"/>
  <c r="L24" i="1" s="1"/>
  <c r="N7" i="3" s="1"/>
  <c r="H24" i="1"/>
  <c r="Q26" i="2"/>
  <c r="K24" i="1" s="1"/>
  <c r="M7" i="3" s="1"/>
  <c r="E109" i="2"/>
  <c r="E111" i="2" s="1"/>
  <c r="G24" i="1"/>
  <c r="F34" i="2"/>
  <c r="G34" i="2" s="1"/>
  <c r="G33" i="2"/>
  <c r="P26" i="1" l="1"/>
  <c r="Q10" i="5" s="1"/>
  <c r="J9" i="3"/>
  <c r="O24" i="1"/>
  <c r="P8" i="5" s="1"/>
  <c r="I7" i="3"/>
  <c r="O25" i="1"/>
  <c r="P9" i="5" s="1"/>
  <c r="I8" i="3"/>
  <c r="K7" i="3"/>
  <c r="Q24" i="1"/>
  <c r="R8" i="5" s="1"/>
  <c r="P25" i="1"/>
  <c r="Q9" i="5" s="1"/>
  <c r="J8" i="3"/>
  <c r="K9" i="3"/>
  <c r="Q26" i="1"/>
  <c r="R10" i="5" s="1"/>
  <c r="E112" i="2"/>
  <c r="F112" i="2" s="1"/>
  <c r="E113" i="2"/>
  <c r="F113" i="2" s="1"/>
  <c r="K8" i="3"/>
  <c r="Q25" i="1"/>
  <c r="R9" i="5" s="1"/>
  <c r="O26" i="1"/>
  <c r="P10" i="5" s="1"/>
  <c r="I9" i="3"/>
  <c r="C29" i="3" s="1"/>
  <c r="P24" i="1"/>
  <c r="Q8" i="5" s="1"/>
  <c r="J7" i="3"/>
  <c r="E114" i="2"/>
  <c r="F114" i="2" s="1"/>
  <c r="G112" i="2"/>
  <c r="H112" i="2" s="1"/>
  <c r="G113" i="2"/>
  <c r="H113" i="2" s="1"/>
  <c r="C28" i="3" l="1"/>
  <c r="H115" i="2"/>
  <c r="H116" i="2" s="1"/>
  <c r="H45" i="2" s="1"/>
  <c r="I35" i="1" s="1"/>
  <c r="C27" i="3"/>
  <c r="F115" i="2"/>
  <c r="H117" i="2" l="1"/>
  <c r="F45" i="2" s="1"/>
  <c r="G35" i="1" s="1"/>
  <c r="Q8" i="3" s="1"/>
  <c r="G45" i="2"/>
  <c r="H35" i="1" s="1"/>
  <c r="F116" i="2"/>
  <c r="G44" i="2"/>
  <c r="F44" i="2"/>
  <c r="G34" i="1" s="1"/>
  <c r="Q7" i="3" s="1"/>
  <c r="F117" i="2"/>
  <c r="I44" i="2" s="1"/>
  <c r="I45" i="2" l="1"/>
  <c r="C30" i="3"/>
  <c r="C31" i="3" s="1"/>
  <c r="C15" i="3" s="1"/>
  <c r="P8" i="3"/>
  <c r="H44" i="2"/>
  <c r="I34" i="1" s="1"/>
  <c r="H34" i="1"/>
</calcChain>
</file>

<file path=xl/sharedStrings.xml><?xml version="1.0" encoding="utf-8"?>
<sst xmlns="http://schemas.openxmlformats.org/spreadsheetml/2006/main" count="347" uniqueCount="242">
  <si>
    <r>
      <t>Z</t>
    </r>
    <r>
      <rPr>
        <sz val="10"/>
        <rFont val="Symbol"/>
        <family val="1"/>
        <charset val="2"/>
      </rPr>
      <t>a</t>
    </r>
  </si>
  <si>
    <t>©</t>
  </si>
  <si>
    <t>Pedro Femia Marzo</t>
  </si>
  <si>
    <t>web</t>
  </si>
  <si>
    <t>UTILIDADES ESTADÍSTICAS //</t>
  </si>
  <si>
    <t>Bioestadística</t>
  </si>
  <si>
    <t>Inferencia sobre una proporción binomial</t>
  </si>
  <si>
    <t>Facultad de Medicina - Universidad de Granada</t>
  </si>
  <si>
    <t>Entrada de datos</t>
  </si>
  <si>
    <t>*</t>
  </si>
  <si>
    <t>Resumen de resultados</t>
  </si>
  <si>
    <t>n</t>
  </si>
  <si>
    <t>x</t>
  </si>
  <si>
    <t>p</t>
  </si>
  <si>
    <t>d</t>
  </si>
  <si>
    <t>ic-</t>
  </si>
  <si>
    <t>ic+</t>
  </si>
  <si>
    <t>Método</t>
  </si>
  <si>
    <t>exacto</t>
  </si>
  <si>
    <t>n-x</t>
  </si>
  <si>
    <t>Observacion con el IC exacto</t>
  </si>
  <si>
    <t>P(X&lt;=x|P+) =</t>
  </si>
  <si>
    <t>Confianza (%)</t>
  </si>
  <si>
    <t>P(X&gt;=x|P -) =</t>
  </si>
  <si>
    <t>Estimaciones puntuales</t>
  </si>
  <si>
    <t>q</t>
  </si>
  <si>
    <t>3a</t>
  </si>
  <si>
    <t>Intervalo exacto</t>
  </si>
  <si>
    <t>Lim. Inf.</t>
  </si>
  <si>
    <t>Lim. Sup.</t>
  </si>
  <si>
    <t>Precision:</t>
  </si>
  <si>
    <t>3b</t>
  </si>
  <si>
    <t>Intervalo basado en la aproximación a la normal</t>
  </si>
  <si>
    <t>(IC cuadrático de Fleiss)</t>
  </si>
  <si>
    <t>Validez:</t>
  </si>
  <si>
    <t>Precisión</t>
  </si>
  <si>
    <t>Sin información previa</t>
  </si>
  <si>
    <t>Test Ho: p=po</t>
  </si>
  <si>
    <t>po</t>
  </si>
  <si>
    <t>Colas</t>
  </si>
  <si>
    <t>Zexp</t>
  </si>
  <si>
    <t>Significación</t>
  </si>
  <si>
    <t>cálculos intermedios</t>
  </si>
  <si>
    <t>Intervalo exacto:</t>
  </si>
  <si>
    <t>Casos</t>
  </si>
  <si>
    <t>x y n-x &lt;&gt;0</t>
  </si>
  <si>
    <t>a</t>
  </si>
  <si>
    <t>gl1</t>
  </si>
  <si>
    <t>gl2</t>
  </si>
  <si>
    <t>F</t>
  </si>
  <si>
    <t>x=0</t>
  </si>
  <si>
    <t>x=n</t>
  </si>
  <si>
    <t>eleccion:</t>
  </si>
  <si>
    <t xml:space="preserve">A    *   </t>
  </si>
  <si>
    <t>(x +/-  0.5)</t>
  </si>
  <si>
    <t>+   t^2/2</t>
  </si>
  <si>
    <t xml:space="preserve"> +/-  t  Raiz(...)</t>
  </si>
  <si>
    <t>I.C.</t>
  </si>
  <si>
    <t>Precisión:</t>
  </si>
  <si>
    <t>ta</t>
  </si>
  <si>
    <t>Raiz(pq/n)</t>
  </si>
  <si>
    <t>1/2n</t>
  </si>
  <si>
    <t>Tamaño de muestra con informacion previa  basado en el IC por aprox. A la normal</t>
  </si>
  <si>
    <t>Determinacion del p del IC mas proximo a 0.5</t>
  </si>
  <si>
    <t>LI</t>
  </si>
  <si>
    <t>LS</t>
  </si>
  <si>
    <t>LI&lt;0.5</t>
  </si>
  <si>
    <t>LS&gt;0.5</t>
  </si>
  <si>
    <t>Resultado</t>
  </si>
  <si>
    <t>Param</t>
  </si>
  <si>
    <t>LI&lt;0.5&lt;LS</t>
  </si>
  <si>
    <t>0.5&lt;LI&lt;LS</t>
  </si>
  <si>
    <t>LI&lt;LS&lt;0.5</t>
  </si>
  <si>
    <t>p (est) =</t>
  </si>
  <si>
    <t>q (est) =</t>
  </si>
  <si>
    <t>Largo</t>
  </si>
  <si>
    <t>Exacto</t>
  </si>
  <si>
    <t>Wilson</t>
  </si>
  <si>
    <t>Wald</t>
  </si>
  <si>
    <t>Wald ajustado</t>
  </si>
  <si>
    <t>x+2</t>
  </si>
  <si>
    <t>n-x+2</t>
  </si>
  <si>
    <t>n+4</t>
  </si>
  <si>
    <t>Za</t>
  </si>
  <si>
    <t>centro</t>
  </si>
  <si>
    <t>radio</t>
  </si>
  <si>
    <t>IC</t>
  </si>
  <si>
    <t>Wald Ajustado</t>
  </si>
  <si>
    <t>IC(-)</t>
  </si>
  <si>
    <t>IC(+)</t>
  </si>
  <si>
    <t>Validez</t>
  </si>
  <si>
    <t>Si</t>
  </si>
  <si>
    <t>No</t>
  </si>
  <si>
    <t>%</t>
  </si>
  <si>
    <t>Aprox SPSS*</t>
  </si>
  <si>
    <t>*SEM=</t>
  </si>
  <si>
    <t>n exacto</t>
  </si>
  <si>
    <t>±</t>
  </si>
  <si>
    <t>Intervalo de confianza y tamaño de muestra</t>
  </si>
  <si>
    <t>Las proporciones se intruducen siempre como porcentajes</t>
  </si>
  <si>
    <t>Referencias</t>
  </si>
  <si>
    <t>Referencia de las fórmulas utilizadas</t>
  </si>
  <si>
    <t>Martín Andrés, A. y Luna del Castillo, J.D (2013)</t>
  </si>
  <si>
    <t>Ed. Norma (Madrid)</t>
  </si>
  <si>
    <t>pfemia@ugr.es</t>
  </si>
  <si>
    <t>4a</t>
  </si>
  <si>
    <t>Test</t>
  </si>
  <si>
    <t>4b</t>
  </si>
  <si>
    <t>Tamaño de muestra</t>
  </si>
  <si>
    <t>Potencia</t>
  </si>
  <si>
    <t xml:space="preserve"> 2beta</t>
  </si>
  <si>
    <t>Z2b=</t>
  </si>
  <si>
    <t>Z2b</t>
  </si>
  <si>
    <t>p1</t>
  </si>
  <si>
    <t>2 colas</t>
  </si>
  <si>
    <t>p0-d</t>
  </si>
  <si>
    <t>p0+d</t>
  </si>
  <si>
    <t xml:space="preserve">Pedro Femia Marzo </t>
  </si>
  <si>
    <t>d-deseada (%)</t>
  </si>
  <si>
    <t>Con inf</t>
  </si>
  <si>
    <t>Tamaño necesario</t>
  </si>
  <si>
    <t>Sin inf</t>
  </si>
  <si>
    <t>Muestra</t>
  </si>
  <si>
    <t>5%</t>
  </si>
  <si>
    <t/>
  </si>
  <si>
    <t>COPIAS</t>
  </si>
  <si>
    <t>ENLACE</t>
  </si>
  <si>
    <t>7%</t>
  </si>
  <si>
    <t>Ej:</t>
  </si>
  <si>
    <t>10%</t>
  </si>
  <si>
    <t>No es necesario aumentar n</t>
  </si>
  <si>
    <t>3%</t>
  </si>
  <si>
    <t>deseada (%)</t>
  </si>
  <si>
    <t>Uso</t>
  </si>
  <si>
    <r>
      <rPr>
        <b/>
        <sz val="10"/>
        <rFont val="Arial"/>
        <family val="2"/>
      </rPr>
      <t>Enlace</t>
    </r>
    <r>
      <rPr>
        <sz val="10"/>
        <rFont val="Arial"/>
        <family val="2"/>
      </rPr>
      <t xml:space="preserve"> está vinculado a la hoja de cálculo. Copiar y pegar el contenido y el formato en</t>
    </r>
    <r>
      <rPr>
        <b/>
        <sz val="10"/>
        <rFont val="Arial"/>
        <family val="2"/>
      </rPr>
      <t xml:space="preserve"> copias</t>
    </r>
  </si>
  <si>
    <t xml:space="preserve">Se desea estimar la frecuencia con la que aparece la tendinitis de muñeca en jugadores de tenis que comienzan a practicar este deporte con una edad superior a 30 años. Para ello se ha considerado una muestra de </t>
  </si>
  <si>
    <t xml:space="preserve">jugadores, de los cuales </t>
  </si>
  <si>
    <t xml:space="preserve">han presentado este tipo de lesión. A partir de estos datos, estime la proporción de lesionados y qué tamaño de muestra es necesario para que dicha precisión sea del </t>
  </si>
  <si>
    <t>Preparación del enunciado</t>
  </si>
  <si>
    <t>(copiar y pegar, la primera línea es el enunciado y la segunda la solución)</t>
  </si>
  <si>
    <t>Wald:</t>
  </si>
  <si>
    <t>n=</t>
  </si>
  <si>
    <r>
      <t>Para   z</t>
    </r>
    <r>
      <rPr>
        <sz val="10"/>
        <rFont val="Symbol"/>
        <family val="1"/>
        <charset val="2"/>
      </rPr>
      <t>a</t>
    </r>
    <r>
      <rPr>
        <sz val="10"/>
        <rFont val="Arial"/>
        <family val="2"/>
      </rPr>
      <t xml:space="preserve">  =</t>
    </r>
  </si>
  <si>
    <t xml:space="preserve">y      d = </t>
  </si>
  <si>
    <r>
      <t>--&gt; (Z/d)</t>
    </r>
    <r>
      <rPr>
        <sz val="10"/>
        <rFont val="Calibri"/>
        <family val="2"/>
      </rPr>
      <t>²=</t>
    </r>
  </si>
  <si>
    <t>Basado en el IC de Wilson</t>
  </si>
  <si>
    <t>Usando la información actual:</t>
  </si>
  <si>
    <t>Basado en el IC de Wald ajustado</t>
  </si>
  <si>
    <t>δ</t>
  </si>
  <si>
    <t>Simbolos:</t>
  </si>
  <si>
    <t>Composición de resultados</t>
  </si>
  <si>
    <t>1)</t>
  </si>
  <si>
    <t>2)</t>
  </si>
  <si>
    <t>3)</t>
  </si>
  <si>
    <t>intercala n</t>
  </si>
  <si>
    <t>intercala x</t>
  </si>
  <si>
    <t>intercala precisión</t>
  </si>
  <si>
    <t>4)</t>
  </si>
  <si>
    <t>intercala confianza</t>
  </si>
  <si>
    <t>(4 frases)</t>
  </si>
  <si>
    <t>con una confianza del</t>
  </si>
  <si>
    <t>Solución:</t>
  </si>
  <si>
    <t>Preparación del enunciado (4 frases)</t>
  </si>
  <si>
    <t>INEF</t>
  </si>
  <si>
    <t>Enunciado del problema+ solución</t>
  </si>
  <si>
    <t>E:</t>
  </si>
  <si>
    <t>S:</t>
  </si>
  <si>
    <t>Poisson</t>
  </si>
  <si>
    <t>a/2</t>
  </si>
  <si>
    <t>1-a/2</t>
  </si>
  <si>
    <t>1-a</t>
  </si>
  <si>
    <t>orig</t>
  </si>
  <si>
    <t>X2</t>
  </si>
  <si>
    <t>X2/2</t>
  </si>
  <si>
    <t>2 df</t>
  </si>
  <si>
    <t>id</t>
  </si>
  <si>
    <t>Id</t>
  </si>
  <si>
    <t>p =</t>
  </si>
  <si>
    <t>Factor:        10^</t>
  </si>
  <si>
    <t xml:space="preserve">Resultados </t>
  </si>
  <si>
    <t>= Datos de entrada para el formulario ppal</t>
  </si>
  <si>
    <t>En la hoja Inf_1_Proporción hay que hacer que las celdas de entrada</t>
  </si>
  <si>
    <t>para n y para x apunten a las de esta cabecera</t>
  </si>
  <si>
    <t>Plantilla:</t>
  </si>
  <si>
    <t>Utilidades Estadísticas /</t>
  </si>
  <si>
    <t>Referencia:</t>
  </si>
  <si>
    <t>(acorde con directrices APA 17.0)</t>
  </si>
  <si>
    <t>Unidad Docente de Medicina</t>
  </si>
  <si>
    <t>Departamento de Estadística e I.O.</t>
  </si>
  <si>
    <t>Universidad de Granada</t>
  </si>
  <si>
    <t>Descripción de la aplicación</t>
  </si>
  <si>
    <t>●</t>
  </si>
  <si>
    <t>Prop</t>
  </si>
  <si>
    <r>
      <rPr>
        <sz val="9"/>
        <rFont val="Calibri"/>
        <family val="2"/>
        <scheme val="minor"/>
      </rPr>
      <t xml:space="preserve">Femia, P. (2023) </t>
    </r>
    <r>
      <rPr>
        <i/>
        <sz val="9"/>
        <rFont val="Calibri"/>
        <family val="2"/>
        <scheme val="minor"/>
      </rPr>
      <t xml:space="preserve">Prop </t>
    </r>
    <r>
      <rPr>
        <sz val="9"/>
        <rFont val="Calibri"/>
        <family val="2"/>
        <scheme val="minor"/>
      </rPr>
      <t>(versión 3.0) [Hoja de cálculo]</t>
    </r>
    <r>
      <rPr>
        <i/>
        <sz val="9"/>
        <rFont val="Calibri"/>
        <family val="2"/>
        <scheme val="minor"/>
      </rPr>
      <t>.</t>
    </r>
    <r>
      <rPr>
        <sz val="9"/>
        <rFont val="Calibri"/>
        <family val="2"/>
        <scheme val="minor"/>
      </rPr>
      <t xml:space="preserve"> Universidad de Granada.</t>
    </r>
  </si>
  <si>
    <t>&lt; Presentación</t>
  </si>
  <si>
    <t>Bibliografía</t>
  </si>
  <si>
    <t>-</t>
  </si>
  <si>
    <t>Martín Andrés, A. y Luna del Castillo, J.D (2004)</t>
  </si>
  <si>
    <t>Bioestadística para las Ciencias de la Salud</t>
  </si>
  <si>
    <r>
      <t>Referencia de esta aplicación</t>
    </r>
    <r>
      <rPr>
        <sz val="11"/>
        <rFont val="Calibri"/>
        <family val="2"/>
        <scheme val="minor"/>
      </rPr>
      <t/>
    </r>
  </si>
  <si>
    <t xml:space="preserve">Desarrollo: </t>
  </si>
  <si>
    <t>MS-Excel 2016</t>
  </si>
  <si>
    <t xml:space="preserve">Versión: </t>
  </si>
  <si>
    <t>Año:</t>
  </si>
  <si>
    <t>URL:</t>
  </si>
  <si>
    <t>https://www.ugr.es/~pfemia/apps/Prop</t>
  </si>
  <si>
    <t>3.0</t>
  </si>
  <si>
    <r>
      <rPr>
        <b/>
        <i/>
        <sz val="11"/>
        <rFont val="Calibri"/>
        <family val="2"/>
        <scheme val="minor"/>
      </rPr>
      <t xml:space="preserve">Prop </t>
    </r>
    <r>
      <rPr>
        <sz val="11"/>
        <rFont val="Calibri"/>
        <family val="2"/>
        <scheme val="minor"/>
      </rPr>
      <t>es una aplicación para realizar inferencias sobre la proporción binomial.</t>
    </r>
  </si>
  <si>
    <t>Permite determinar el tamaño de muestra para obtener la precisión deseada.</t>
  </si>
  <si>
    <t>necesario para declarar significativa una diferencia dada para valores de potencia y error de tipo I predefinidos.</t>
  </si>
  <si>
    <t>Ir a Inferencias</t>
  </si>
  <si>
    <t>Inicio</t>
  </si>
  <si>
    <t xml:space="preserve">LICENSE </t>
  </si>
  <si>
    <t xml:space="preserve">This software is licensed under the Creative Commons Attribution </t>
  </si>
  <si>
    <t xml:space="preserve">International License (CC BY-NC-ND 4.0). You must agree with the terms of </t>
  </si>
  <si>
    <t xml:space="preserve">the license prior to use this software for any purpose.  Utilization implies the </t>
  </si>
  <si>
    <t>implicit agreement.</t>
  </si>
  <si>
    <t xml:space="preserve">You are free to use, share, copy and redistribute the material in any medium </t>
  </si>
  <si>
    <t>or format, under the following terms:</t>
  </si>
  <si>
    <t xml:space="preserve">- ATTRIBUTION.  You must give appropriate credit, provide a link to the </t>
  </si>
  <si>
    <t xml:space="preserve">license, and indicate if changes were made. You may do so in any </t>
  </si>
  <si>
    <t xml:space="preserve">reasonable manner, but not in any way that suggests the licensor endorses </t>
  </si>
  <si>
    <t>you or your use.</t>
  </si>
  <si>
    <t>- NON-COMERCIAL USE. You may not use the material for commercial</t>
  </si>
  <si>
    <t xml:space="preserve">purposes. NoDerivatives. If you remix, transform, or build upon the material, </t>
  </si>
  <si>
    <t>you may not  distribute the modified material.</t>
  </si>
  <si>
    <t>- NO ADDITIONAL RESTRICTIONS. You may not apply legal terms or</t>
  </si>
  <si>
    <t xml:space="preserve">technological measures that legally restrict others from doing anything the </t>
  </si>
  <si>
    <t>license permits.</t>
  </si>
  <si>
    <t>DISCLAIMER</t>
  </si>
  <si>
    <t xml:space="preserve">This software is provided "as is" without warranty of any kind. To the </t>
  </si>
  <si>
    <t xml:space="preserve">maximum extent permitted by applicable law, the authors further disclaims all </t>
  </si>
  <si>
    <t xml:space="preserve">warranties. The entire risk arising out of the use or performance of the </t>
  </si>
  <si>
    <t xml:space="preserve">products and documentation remains with recipient. </t>
  </si>
  <si>
    <r>
      <t>p</t>
    </r>
    <r>
      <rPr>
        <sz val="8"/>
        <rFont val="Arial"/>
        <family val="2"/>
      </rPr>
      <t>o</t>
    </r>
  </si>
  <si>
    <t>Resultados con factor de multiplicación</t>
  </si>
  <si>
    <r>
      <rPr>
        <i/>
        <sz val="10"/>
        <color rgb="FFD14500"/>
        <rFont val="Source Sans Pro"/>
        <family val="2"/>
      </rPr>
      <t>Prop</t>
    </r>
    <r>
      <rPr>
        <sz val="10"/>
        <color rgb="FFD14500"/>
        <rFont val="Source Sans Pro"/>
        <family val="2"/>
      </rPr>
      <t> </t>
    </r>
    <r>
      <rPr>
        <sz val="10"/>
        <color rgb="FF333333"/>
        <rFont val="Source Sans Pro"/>
        <family val="2"/>
      </rPr>
      <t>© 2023 by </t>
    </r>
    <r>
      <rPr>
        <sz val="10"/>
        <color rgb="FFD14500"/>
        <rFont val="Source Sans Pro"/>
        <family val="2"/>
      </rPr>
      <t>Pedro Femia </t>
    </r>
    <r>
      <rPr>
        <sz val="10"/>
        <color rgb="FF333333"/>
        <rFont val="Source Sans Pro"/>
        <family val="2"/>
      </rPr>
      <t>is licensed under </t>
    </r>
    <r>
      <rPr>
        <sz val="10"/>
        <color rgb="FFD14500"/>
        <rFont val="Source Sans Pro"/>
        <family val="2"/>
      </rPr>
      <t>Creative Commons Attribution-NonCommercial-NoDerivatives 4.0 International </t>
    </r>
  </si>
  <si>
    <r>
      <t>Z</t>
    </r>
    <r>
      <rPr>
        <sz val="10"/>
        <color theme="0" tint="-0.499984740745262"/>
        <rFont val="Symbol"/>
        <family val="1"/>
        <charset val="2"/>
      </rPr>
      <t>a</t>
    </r>
  </si>
  <si>
    <t>cc</t>
  </si>
  <si>
    <t>Permite estimar la proporción mediante el método exacto y diferentes aproximaciones basadas en la distribución normal y de Poisson.</t>
  </si>
  <si>
    <t>Realiza el test para una proporción Ho:p=po, basado en la aproximación a la distribución normal, permitiendo también inferir el tamaño de muestra</t>
  </si>
  <si>
    <t>Información sobre la licencia de uso y el descargo de responsabilidad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</si>
</sst>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0.000"/>
    <numFmt numFmtId="165" formatCode="0.0000"/>
    <numFmt numFmtId="166" formatCode="0.00000"/>
    <numFmt numFmtId="167" formatCode="0.0000000"/>
    <numFmt numFmtId="168" formatCode="0.000000"/>
    <numFmt numFmtId="169" formatCode="0.000%"/>
    <numFmt numFmtId="170" formatCode="0.0"/>
    <numFmt numFmtId="171" formatCode="0.0%"/>
    <numFmt numFmtId="172" formatCode="0.000000000"/>
  </numFmts>
  <fonts count="82" x14ac:knownFonts="1"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b/>
      <sz val="12"/>
      <color indexed="18"/>
      <name val="Arial"/>
      <family val="2"/>
    </font>
    <font>
      <sz val="12"/>
      <color indexed="18"/>
      <name val="Arial"/>
      <family val="2"/>
    </font>
    <font>
      <b/>
      <sz val="8"/>
      <color indexed="18"/>
      <name val="Arial"/>
      <family val="2"/>
    </font>
    <font>
      <u/>
      <sz val="8"/>
      <color indexed="18"/>
      <name val="Arial"/>
      <family val="2"/>
    </font>
    <font>
      <b/>
      <sz val="10"/>
      <color indexed="18"/>
      <name val="Arial"/>
      <family val="2"/>
    </font>
    <font>
      <sz val="10"/>
      <color indexed="1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sz val="10"/>
      <color indexed="22"/>
      <name val="Arial"/>
      <family val="2"/>
    </font>
    <font>
      <b/>
      <sz val="10"/>
      <color indexed="10"/>
      <name val="Arial"/>
      <family val="2"/>
    </font>
    <font>
      <sz val="10"/>
      <name val="Symbol"/>
      <family val="1"/>
      <charset val="2"/>
    </font>
    <font>
      <b/>
      <i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9"/>
      <color indexed="10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u/>
      <sz val="8"/>
      <color indexed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u/>
      <sz val="8"/>
      <name val="Arial"/>
      <family val="2"/>
    </font>
    <font>
      <sz val="10"/>
      <color indexed="10"/>
      <name val="Arial"/>
      <family val="2"/>
    </font>
    <font>
      <sz val="10"/>
      <color indexed="55"/>
      <name val="Arial"/>
      <family val="2"/>
    </font>
    <font>
      <b/>
      <sz val="10"/>
      <color indexed="9"/>
      <name val="Arial"/>
      <family val="2"/>
    </font>
    <font>
      <sz val="10"/>
      <color indexed="43"/>
      <name val="Arial"/>
      <family val="2"/>
    </font>
    <font>
      <b/>
      <u/>
      <sz val="10"/>
      <color indexed="23"/>
      <name val="Arial"/>
      <family val="2"/>
    </font>
    <font>
      <b/>
      <i/>
      <sz val="10"/>
      <color indexed="55"/>
      <name val="Arial"/>
      <family val="2"/>
    </font>
    <font>
      <sz val="10"/>
      <color indexed="55"/>
      <name val="Symbol"/>
      <family val="1"/>
      <charset val="2"/>
    </font>
    <font>
      <sz val="10"/>
      <color indexed="55"/>
      <name val="Arial"/>
      <family val="2"/>
    </font>
    <font>
      <sz val="10"/>
      <color indexed="23"/>
      <name val="Arial"/>
      <family val="2"/>
    </font>
    <font>
      <b/>
      <sz val="10"/>
      <color indexed="23"/>
      <name val="Arial"/>
      <family val="2"/>
    </font>
    <font>
      <b/>
      <i/>
      <sz val="10"/>
      <color indexed="23"/>
      <name val="Arial"/>
      <family val="2"/>
    </font>
    <font>
      <sz val="10"/>
      <color indexed="41"/>
      <name val="Arial"/>
      <family val="2"/>
    </font>
    <font>
      <sz val="10"/>
      <color indexed="18"/>
      <name val="Arial"/>
      <family val="2"/>
    </font>
    <font>
      <i/>
      <sz val="10"/>
      <color indexed="23"/>
      <name val="Arial"/>
      <family val="2"/>
    </font>
    <font>
      <sz val="10"/>
      <color theme="9" tint="-0.499984740745262"/>
      <name val="Arial"/>
      <family val="2"/>
    </font>
    <font>
      <sz val="10"/>
      <color theme="0" tint="-0.499984740745262"/>
      <name val="Arial"/>
      <family val="2"/>
    </font>
    <font>
      <sz val="10"/>
      <color rgb="FFFF0000"/>
      <name val="Arial"/>
      <family val="2"/>
    </font>
    <font>
      <sz val="10"/>
      <name val="Calibri"/>
      <family val="2"/>
    </font>
    <font>
      <sz val="9"/>
      <color theme="9" tint="-0.499984740745262"/>
      <name val="Arial"/>
      <family val="2"/>
    </font>
    <font>
      <sz val="10"/>
      <color theme="4" tint="-0.499984740745262"/>
      <name val="Arial"/>
      <family val="2"/>
    </font>
    <font>
      <b/>
      <sz val="10"/>
      <color theme="9" tint="-0.499984740745262"/>
      <name val="Arial"/>
      <family val="2"/>
    </font>
    <font>
      <sz val="10"/>
      <color theme="9" tint="-0.499984740745262"/>
      <name val="Calibri"/>
      <family val="2"/>
    </font>
    <font>
      <b/>
      <sz val="10"/>
      <color theme="4" tint="-0.499984740745262"/>
      <name val="Arial"/>
      <family val="2"/>
    </font>
    <font>
      <sz val="10"/>
      <color theme="0" tint="-0.14999847407452621"/>
      <name val="Arial"/>
      <family val="2"/>
    </font>
    <font>
      <sz val="10"/>
      <color theme="0"/>
      <name val="Arial"/>
      <family val="2"/>
    </font>
    <font>
      <b/>
      <sz val="10"/>
      <color theme="2" tint="-0.89999084444715716"/>
      <name val="Arial"/>
      <family val="2"/>
    </font>
    <font>
      <sz val="10"/>
      <color theme="2" tint="-0.499984740745262"/>
      <name val="Arial"/>
      <family val="2"/>
    </font>
    <font>
      <b/>
      <sz val="10"/>
      <color rgb="FFC00000"/>
      <name val="Arial"/>
      <family val="2"/>
    </font>
    <font>
      <sz val="20"/>
      <name val="Calibri"/>
      <family val="2"/>
      <scheme val="minor"/>
    </font>
    <font>
      <b/>
      <sz val="16"/>
      <color theme="4" tint="-0.249977111117893"/>
      <name val="Calibri"/>
      <family val="2"/>
      <scheme val="minor"/>
    </font>
    <font>
      <b/>
      <i/>
      <u/>
      <sz val="16"/>
      <color theme="4" tint="-0.249977111117893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i/>
      <sz val="12"/>
      <color theme="4" tint="-0.499984740745262"/>
      <name val="Calibri"/>
      <family val="2"/>
      <scheme val="minor"/>
    </font>
    <font>
      <i/>
      <sz val="9"/>
      <name val="Calibri"/>
      <family val="2"/>
      <scheme val="minor"/>
    </font>
    <font>
      <sz val="9"/>
      <name val="Calibri"/>
      <family val="2"/>
      <scheme val="minor"/>
    </font>
    <font>
      <u/>
      <sz val="9"/>
      <name val="Calibri"/>
      <family val="2"/>
      <scheme val="minor"/>
    </font>
    <font>
      <b/>
      <u/>
      <sz val="9"/>
      <color theme="4" tint="-0.499984740745262"/>
      <name val="Calibri"/>
      <family val="2"/>
      <scheme val="minor"/>
    </font>
    <font>
      <sz val="8"/>
      <color theme="0" tint="-0.34998626667073579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name val="Calibri"/>
      <family val="2"/>
      <scheme val="minor"/>
    </font>
    <font>
      <sz val="8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0"/>
      <color theme="0"/>
      <name val="Arial"/>
      <family val="2"/>
    </font>
    <font>
      <b/>
      <sz val="12"/>
      <color theme="0"/>
      <name val="Arial"/>
      <family val="2"/>
    </font>
    <font>
      <sz val="12"/>
      <color theme="0"/>
      <name val="Arial"/>
      <family val="2"/>
    </font>
    <font>
      <b/>
      <sz val="8"/>
      <color theme="0"/>
      <name val="Arial"/>
      <family val="2"/>
    </font>
    <font>
      <u/>
      <sz val="8"/>
      <color theme="0"/>
      <name val="Arial"/>
      <family val="2"/>
    </font>
    <font>
      <b/>
      <i/>
      <sz val="12"/>
      <color theme="0"/>
      <name val="Arial"/>
      <family val="2"/>
    </font>
    <font>
      <sz val="10"/>
      <color rgb="FFD14500"/>
      <name val="Source Sans Pro"/>
      <family val="2"/>
    </font>
    <font>
      <b/>
      <u/>
      <sz val="10"/>
      <name val="Arial"/>
      <family val="2"/>
    </font>
    <font>
      <sz val="10"/>
      <color rgb="FFC00000"/>
      <name val="Arial"/>
      <family val="2"/>
    </font>
    <font>
      <sz val="10"/>
      <color rgb="FF333333"/>
      <name val="Source Sans Pro"/>
      <family val="2"/>
    </font>
    <font>
      <i/>
      <sz val="10"/>
      <color rgb="FFD14500"/>
      <name val="Source Sans Pro"/>
      <family val="2"/>
    </font>
    <font>
      <sz val="10"/>
      <color theme="0" tint="-0.499984740745262"/>
      <name val="Symbol"/>
      <family val="1"/>
      <charset val="2"/>
    </font>
  </fonts>
  <fills count="1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0" fontId="1" fillId="0" borderId="0"/>
  </cellStyleXfs>
  <cellXfs count="522">
    <xf numFmtId="0" fontId="0" fillId="0" borderId="0" xfId="0"/>
    <xf numFmtId="0" fontId="4" fillId="2" borderId="0" xfId="0" applyFont="1" applyFill="1" applyProtection="1"/>
    <xf numFmtId="0" fontId="5" fillId="2" borderId="0" xfId="0" applyFont="1" applyFill="1" applyProtection="1"/>
    <xf numFmtId="0" fontId="6" fillId="2" borderId="0" xfId="0" applyFont="1" applyFill="1" applyProtection="1"/>
    <xf numFmtId="0" fontId="7" fillId="2" borderId="0" xfId="1" applyFont="1" applyFill="1" applyAlignment="1" applyProtection="1"/>
    <xf numFmtId="0" fontId="10" fillId="2" borderId="0" xfId="0" applyFont="1" applyFill="1" applyAlignment="1" applyProtection="1">
      <alignment horizontal="left"/>
    </xf>
    <xf numFmtId="0" fontId="11" fillId="2" borderId="0" xfId="0" applyFont="1" applyFill="1" applyProtection="1"/>
    <xf numFmtId="0" fontId="11" fillId="2" borderId="0" xfId="0" applyFont="1" applyFill="1" applyAlignment="1" applyProtection="1">
      <alignment horizontal="center"/>
    </xf>
    <xf numFmtId="0" fontId="11" fillId="2" borderId="0" xfId="0" applyFont="1" applyFill="1" applyAlignment="1" applyProtection="1">
      <alignment horizontal="left"/>
    </xf>
    <xf numFmtId="0" fontId="10" fillId="2" borderId="0" xfId="0" quotePrefix="1" applyFont="1" applyFill="1" applyProtection="1"/>
    <xf numFmtId="0" fontId="10" fillId="2" borderId="0" xfId="0" applyFont="1" applyFill="1" applyAlignment="1" applyProtection="1">
      <alignment horizontal="right"/>
    </xf>
    <xf numFmtId="0" fontId="0" fillId="2" borderId="0" xfId="0" applyFill="1" applyAlignment="1" applyProtection="1">
      <alignment horizontal="left"/>
    </xf>
    <xf numFmtId="0" fontId="0" fillId="2" borderId="0" xfId="0" applyFill="1" applyProtection="1"/>
    <xf numFmtId="0" fontId="0" fillId="2" borderId="1" xfId="0" applyFill="1" applyBorder="1" applyProtection="1"/>
    <xf numFmtId="0" fontId="0" fillId="2" borderId="0" xfId="0" applyFill="1" applyBorder="1" applyProtection="1"/>
    <xf numFmtId="0" fontId="0" fillId="0" borderId="0" xfId="0" applyFill="1" applyProtection="1"/>
    <xf numFmtId="0" fontId="0" fillId="0" borderId="0" xfId="0" applyFill="1" applyAlignment="1" applyProtection="1">
      <alignment horizontal="right"/>
    </xf>
    <xf numFmtId="0" fontId="1" fillId="2" borderId="2" xfId="0" applyFont="1" applyFill="1" applyBorder="1" applyProtection="1"/>
    <xf numFmtId="0" fontId="0" fillId="2" borderId="0" xfId="0" applyFill="1" applyBorder="1" applyAlignment="1" applyProtection="1">
      <alignment horizontal="right"/>
    </xf>
    <xf numFmtId="2" fontId="10" fillId="2" borderId="0" xfId="0" applyNumberFormat="1" applyFont="1" applyFill="1" applyBorder="1" applyProtection="1"/>
    <xf numFmtId="0" fontId="0" fillId="2" borderId="0" xfId="0" applyFill="1" applyAlignment="1" applyProtection="1">
      <alignment horizontal="right"/>
    </xf>
    <xf numFmtId="0" fontId="11" fillId="0" borderId="0" xfId="0" applyFont="1" applyFill="1" applyBorder="1" applyProtection="1"/>
    <xf numFmtId="0" fontId="11" fillId="3" borderId="0" xfId="0" applyFont="1" applyFill="1" applyBorder="1" applyProtection="1">
      <protection locked="0"/>
    </xf>
    <xf numFmtId="167" fontId="0" fillId="2" borderId="0" xfId="0" applyNumberFormat="1" applyFill="1" applyBorder="1" applyAlignment="1" applyProtection="1">
      <alignment horizontal="right"/>
    </xf>
    <xf numFmtId="165" fontId="0" fillId="2" borderId="0" xfId="0" applyNumberFormat="1" applyFill="1" applyBorder="1" applyProtection="1"/>
    <xf numFmtId="164" fontId="0" fillId="2" borderId="0" xfId="0" applyNumberFormat="1" applyFill="1" applyBorder="1" applyProtection="1"/>
    <xf numFmtId="166" fontId="0" fillId="2" borderId="0" xfId="0" applyNumberFormat="1" applyFill="1" applyBorder="1" applyProtection="1"/>
    <xf numFmtId="0" fontId="12" fillId="2" borderId="0" xfId="0" applyFont="1" applyFill="1" applyProtection="1"/>
    <xf numFmtId="0" fontId="11" fillId="0" borderId="0" xfId="0" applyFont="1" applyFill="1" applyBorder="1" applyAlignment="1" applyProtection="1">
      <alignment horizontal="left"/>
    </xf>
    <xf numFmtId="0" fontId="13" fillId="2" borderId="0" xfId="0" applyFont="1" applyFill="1" applyProtection="1"/>
    <xf numFmtId="0" fontId="13" fillId="2" borderId="0" xfId="0" applyFont="1" applyFill="1" applyAlignment="1" applyProtection="1">
      <alignment horizontal="left"/>
    </xf>
    <xf numFmtId="0" fontId="0" fillId="3" borderId="0" xfId="0" applyFill="1" applyBorder="1" applyProtection="1">
      <protection locked="0"/>
    </xf>
    <xf numFmtId="0" fontId="14" fillId="2" borderId="0" xfId="0" applyFont="1" applyFill="1" applyProtection="1"/>
    <xf numFmtId="0" fontId="11" fillId="0" borderId="2" xfId="0" applyFont="1" applyFill="1" applyBorder="1" applyProtection="1"/>
    <xf numFmtId="0" fontId="10" fillId="0" borderId="0" xfId="0" applyFont="1" applyFill="1" applyBorder="1" applyAlignment="1" applyProtection="1">
      <alignment horizontal="left"/>
    </xf>
    <xf numFmtId="164" fontId="10" fillId="0" borderId="0" xfId="0" applyNumberFormat="1" applyFont="1" applyFill="1" applyBorder="1" applyProtection="1"/>
    <xf numFmtId="0" fontId="10" fillId="0" borderId="0" xfId="0" applyFont="1" applyFill="1" applyBorder="1" applyAlignment="1" applyProtection="1">
      <alignment horizontal="center"/>
    </xf>
    <xf numFmtId="166" fontId="10" fillId="0" borderId="0" xfId="0" applyNumberFormat="1" applyFont="1" applyFill="1" applyBorder="1" applyAlignment="1" applyProtection="1">
      <alignment horizontal="left" indent="3"/>
    </xf>
    <xf numFmtId="10" fontId="16" fillId="2" borderId="0" xfId="2" applyNumberFormat="1" applyFont="1" applyFill="1" applyBorder="1" applyProtection="1"/>
    <xf numFmtId="2" fontId="13" fillId="2" borderId="0" xfId="0" applyNumberFormat="1" applyFont="1" applyFill="1" applyProtection="1"/>
    <xf numFmtId="167" fontId="13" fillId="2" borderId="0" xfId="0" applyNumberFormat="1" applyFont="1" applyFill="1" applyProtection="1"/>
    <xf numFmtId="0" fontId="10" fillId="0" borderId="0" xfId="0" applyFont="1" applyFill="1" applyAlignment="1" applyProtection="1">
      <alignment horizontal="right"/>
    </xf>
    <xf numFmtId="0" fontId="10" fillId="2" borderId="1" xfId="0" applyFont="1" applyFill="1" applyBorder="1" applyAlignment="1" applyProtection="1">
      <alignment horizontal="left"/>
    </xf>
    <xf numFmtId="166" fontId="10" fillId="0" borderId="1" xfId="0" applyNumberFormat="1" applyFont="1" applyFill="1" applyBorder="1" applyAlignment="1" applyProtection="1">
      <alignment horizontal="left" indent="3"/>
    </xf>
    <xf numFmtId="10" fontId="16" fillId="2" borderId="1" xfId="2" applyNumberFormat="1" applyFont="1" applyFill="1" applyBorder="1" applyProtection="1"/>
    <xf numFmtId="165" fontId="11" fillId="0" borderId="0" xfId="0" applyNumberFormat="1" applyFont="1" applyFill="1" applyBorder="1" applyAlignment="1" applyProtection="1">
      <alignment horizontal="left" indent="3"/>
    </xf>
    <xf numFmtId="10" fontId="9" fillId="2" borderId="0" xfId="2" applyNumberFormat="1" applyFont="1" applyFill="1" applyBorder="1" applyProtection="1"/>
    <xf numFmtId="171" fontId="10" fillId="0" borderId="0" xfId="2" applyNumberFormat="1" applyFont="1" applyFill="1" applyBorder="1" applyAlignment="1" applyProtection="1">
      <alignment horizontal="left" indent="3"/>
    </xf>
    <xf numFmtId="0" fontId="11" fillId="0" borderId="2" xfId="0" applyFont="1" applyFill="1" applyBorder="1" applyAlignment="1" applyProtection="1">
      <alignment horizontal="left"/>
    </xf>
    <xf numFmtId="165" fontId="11" fillId="0" borderId="2" xfId="0" applyNumberFormat="1" applyFont="1" applyFill="1" applyBorder="1" applyAlignment="1" applyProtection="1">
      <alignment horizontal="left" indent="3"/>
    </xf>
    <xf numFmtId="10" fontId="9" fillId="2" borderId="2" xfId="2" applyNumberFormat="1" applyFont="1" applyFill="1" applyBorder="1" applyProtection="1"/>
    <xf numFmtId="171" fontId="10" fillId="0" borderId="2" xfId="2" applyNumberFormat="1" applyFont="1" applyFill="1" applyBorder="1" applyAlignment="1" applyProtection="1">
      <alignment horizontal="left" indent="3"/>
    </xf>
    <xf numFmtId="10" fontId="16" fillId="2" borderId="2" xfId="2" applyNumberFormat="1" applyFont="1" applyFill="1" applyBorder="1" applyProtection="1"/>
    <xf numFmtId="165" fontId="10" fillId="0" borderId="0" xfId="0" applyNumberFormat="1" applyFont="1" applyFill="1" applyBorder="1" applyAlignment="1" applyProtection="1">
      <alignment horizontal="left" indent="3"/>
    </xf>
    <xf numFmtId="10" fontId="8" fillId="2" borderId="0" xfId="2" applyNumberFormat="1" applyFont="1" applyFill="1" applyBorder="1" applyProtection="1"/>
    <xf numFmtId="0" fontId="10" fillId="0" borderId="1" xfId="0" applyFont="1" applyFill="1" applyBorder="1" applyAlignment="1" applyProtection="1">
      <alignment horizontal="left"/>
    </xf>
    <xf numFmtId="165" fontId="10" fillId="0" borderId="1" xfId="0" applyNumberFormat="1" applyFont="1" applyFill="1" applyBorder="1" applyAlignment="1" applyProtection="1">
      <alignment horizontal="left" indent="3"/>
    </xf>
    <xf numFmtId="10" fontId="8" fillId="2" borderId="1" xfId="2" applyNumberFormat="1" applyFont="1" applyFill="1" applyBorder="1" applyProtection="1"/>
    <xf numFmtId="171" fontId="10" fillId="0" borderId="1" xfId="2" applyNumberFormat="1" applyFont="1" applyFill="1" applyBorder="1" applyAlignment="1" applyProtection="1">
      <alignment horizontal="left" indent="3"/>
    </xf>
    <xf numFmtId="0" fontId="10" fillId="2" borderId="0" xfId="0" applyFont="1" applyFill="1" applyProtection="1"/>
    <xf numFmtId="0" fontId="11" fillId="0" borderId="3" xfId="0" applyFont="1" applyFill="1" applyBorder="1" applyProtection="1"/>
    <xf numFmtId="164" fontId="11" fillId="0" borderId="3" xfId="0" applyNumberFormat="1" applyFont="1" applyFill="1" applyBorder="1" applyAlignment="1" applyProtection="1">
      <alignment horizontal="left"/>
    </xf>
    <xf numFmtId="166" fontId="11" fillId="0" borderId="3" xfId="0" quotePrefix="1" applyNumberFormat="1" applyFont="1" applyFill="1" applyBorder="1" applyAlignment="1" applyProtection="1">
      <alignment horizontal="right"/>
    </xf>
    <xf numFmtId="10" fontId="9" fillId="0" borderId="3" xfId="2" applyNumberFormat="1" applyFont="1" applyFill="1" applyBorder="1" applyAlignment="1" applyProtection="1">
      <alignment horizontal="right"/>
    </xf>
    <xf numFmtId="0" fontId="0" fillId="2" borderId="3" xfId="0" applyFill="1" applyBorder="1" applyProtection="1"/>
    <xf numFmtId="0" fontId="11" fillId="2" borderId="2" xfId="0" applyFont="1" applyFill="1" applyBorder="1" applyAlignment="1" applyProtection="1">
      <alignment horizontal="left"/>
    </xf>
    <xf numFmtId="166" fontId="11" fillId="0" borderId="2" xfId="0" quotePrefix="1" applyNumberFormat="1" applyFont="1" applyFill="1" applyBorder="1" applyAlignment="1" applyProtection="1">
      <alignment horizontal="right"/>
    </xf>
    <xf numFmtId="10" fontId="9" fillId="2" borderId="2" xfId="2" applyNumberFormat="1" applyFont="1" applyFill="1" applyBorder="1" applyAlignment="1" applyProtection="1">
      <alignment horizontal="right"/>
    </xf>
    <xf numFmtId="0" fontId="0" fillId="2" borderId="2" xfId="0" applyFill="1" applyBorder="1" applyProtection="1"/>
    <xf numFmtId="164" fontId="11" fillId="0" borderId="2" xfId="0" applyNumberFormat="1" applyFont="1" applyFill="1" applyBorder="1" applyAlignment="1" applyProtection="1">
      <alignment horizontal="right"/>
    </xf>
    <xf numFmtId="1" fontId="11" fillId="2" borderId="4" xfId="2" applyNumberFormat="1" applyFont="1" applyFill="1" applyBorder="1" applyAlignment="1" applyProtection="1">
      <alignment horizontal="left"/>
    </xf>
    <xf numFmtId="164" fontId="11" fillId="2" borderId="0" xfId="2" applyNumberFormat="1" applyFont="1" applyFill="1" applyBorder="1" applyAlignment="1" applyProtection="1">
      <alignment horizontal="left"/>
    </xf>
    <xf numFmtId="164" fontId="11" fillId="2" borderId="0" xfId="0" applyNumberFormat="1" applyFont="1" applyFill="1" applyAlignment="1" applyProtection="1">
      <alignment horizontal="left"/>
    </xf>
    <xf numFmtId="0" fontId="17" fillId="2" borderId="0" xfId="0" applyFont="1" applyFill="1" applyProtection="1"/>
    <xf numFmtId="0" fontId="11" fillId="2" borderId="2" xfId="0" applyFont="1" applyFill="1" applyBorder="1" applyProtection="1"/>
    <xf numFmtId="2" fontId="0" fillId="2" borderId="0" xfId="0" applyNumberFormat="1" applyFill="1" applyProtection="1"/>
    <xf numFmtId="0" fontId="11" fillId="2" borderId="3" xfId="0" applyFont="1" applyFill="1" applyBorder="1" applyProtection="1"/>
    <xf numFmtId="0" fontId="0" fillId="2" borderId="4" xfId="0" applyFill="1" applyBorder="1" applyProtection="1"/>
    <xf numFmtId="164" fontId="0" fillId="2" borderId="3" xfId="0" applyNumberFormat="1" applyFill="1" applyBorder="1" applyProtection="1"/>
    <xf numFmtId="166" fontId="11" fillId="0" borderId="3" xfId="0" applyNumberFormat="1" applyFont="1" applyFill="1" applyBorder="1" applyAlignment="1" applyProtection="1">
      <alignment horizontal="right"/>
    </xf>
    <xf numFmtId="0" fontId="10" fillId="0" borderId="3" xfId="0" applyFont="1" applyFill="1" applyBorder="1" applyProtection="1"/>
    <xf numFmtId="164" fontId="11" fillId="0" borderId="0" xfId="0" applyNumberFormat="1" applyFont="1" applyFill="1" applyBorder="1" applyAlignment="1" applyProtection="1">
      <alignment horizontal="center"/>
    </xf>
    <xf numFmtId="166" fontId="11" fillId="2" borderId="2" xfId="0" applyNumberFormat="1" applyFont="1" applyFill="1" applyBorder="1" applyAlignment="1" applyProtection="1">
      <alignment horizontal="right"/>
    </xf>
    <xf numFmtId="0" fontId="10" fillId="0" borderId="4" xfId="0" applyFont="1" applyFill="1" applyBorder="1" applyProtection="1"/>
    <xf numFmtId="0" fontId="10" fillId="0" borderId="0" xfId="0" applyFont="1" applyFill="1" applyBorder="1" applyAlignment="1" applyProtection="1">
      <alignment horizontal="right"/>
    </xf>
    <xf numFmtId="10" fontId="9" fillId="2" borderId="0" xfId="2" applyNumberFormat="1" applyFont="1" applyFill="1" applyAlignment="1" applyProtection="1">
      <alignment horizontal="center"/>
    </xf>
    <xf numFmtId="0" fontId="11" fillId="2" borderId="2" xfId="0" applyFont="1" applyFill="1" applyBorder="1" applyAlignment="1" applyProtection="1">
      <alignment horizontal="right"/>
    </xf>
    <xf numFmtId="0" fontId="18" fillId="2" borderId="2" xfId="0" applyFont="1" applyFill="1" applyBorder="1" applyAlignment="1" applyProtection="1">
      <alignment horizontal="right"/>
    </xf>
    <xf numFmtId="0" fontId="0" fillId="2" borderId="0" xfId="0" applyFill="1" applyBorder="1" applyAlignment="1" applyProtection="1"/>
    <xf numFmtId="1" fontId="11" fillId="2" borderId="0" xfId="0" applyNumberFormat="1" applyFont="1" applyFill="1" applyBorder="1" applyAlignment="1" applyProtection="1"/>
    <xf numFmtId="0" fontId="0" fillId="2" borderId="2" xfId="0" applyFill="1" applyBorder="1" applyAlignment="1" applyProtection="1"/>
    <xf numFmtId="1" fontId="11" fillId="2" borderId="2" xfId="0" applyNumberFormat="1" applyFont="1" applyFill="1" applyBorder="1" applyAlignment="1" applyProtection="1"/>
    <xf numFmtId="164" fontId="18" fillId="2" borderId="2" xfId="0" applyNumberFormat="1" applyFont="1" applyFill="1" applyBorder="1" applyAlignment="1" applyProtection="1"/>
    <xf numFmtId="0" fontId="0" fillId="2" borderId="0" xfId="0" applyFill="1" applyBorder="1" applyAlignment="1" applyProtection="1">
      <alignment horizontal="left"/>
    </xf>
    <xf numFmtId="0" fontId="0" fillId="3" borderId="0" xfId="0" applyFill="1" applyProtection="1">
      <protection locked="0"/>
    </xf>
    <xf numFmtId="165" fontId="0" fillId="2" borderId="2" xfId="0" applyNumberFormat="1" applyFill="1" applyBorder="1" applyProtection="1"/>
    <xf numFmtId="0" fontId="20" fillId="2" borderId="0" xfId="0" applyFont="1" applyFill="1" applyAlignment="1" applyProtection="1">
      <alignment horizontal="left"/>
    </xf>
    <xf numFmtId="0" fontId="21" fillId="2" borderId="0" xfId="0" applyFont="1" applyFill="1" applyAlignment="1" applyProtection="1">
      <alignment horizontal="left"/>
    </xf>
    <xf numFmtId="0" fontId="22" fillId="0" borderId="0" xfId="1" applyFont="1" applyFill="1" applyBorder="1" applyAlignment="1" applyProtection="1">
      <alignment horizontal="right"/>
    </xf>
    <xf numFmtId="0" fontId="23" fillId="3" borderId="0" xfId="0" applyFont="1" applyFill="1" applyProtection="1"/>
    <xf numFmtId="0" fontId="23" fillId="3" borderId="0" xfId="0" applyFont="1" applyFill="1" applyAlignment="1" applyProtection="1">
      <alignment horizontal="left"/>
    </xf>
    <xf numFmtId="0" fontId="24" fillId="3" borderId="0" xfId="0" applyFont="1" applyFill="1" applyAlignment="1" applyProtection="1">
      <alignment horizontal="right"/>
    </xf>
    <xf numFmtId="0" fontId="24" fillId="3" borderId="0" xfId="0" applyFont="1" applyFill="1" applyProtection="1"/>
    <xf numFmtId="0" fontId="25" fillId="3" borderId="0" xfId="0" applyFont="1" applyFill="1" applyProtection="1"/>
    <xf numFmtId="0" fontId="25" fillId="3" borderId="0" xfId="0" applyFont="1" applyFill="1" applyAlignment="1" applyProtection="1">
      <alignment horizontal="right"/>
    </xf>
    <xf numFmtId="0" fontId="17" fillId="3" borderId="0" xfId="0" applyFont="1" applyFill="1" applyProtection="1"/>
    <xf numFmtId="0" fontId="26" fillId="3" borderId="0" xfId="1" applyFont="1" applyFill="1" applyAlignment="1" applyProtection="1"/>
    <xf numFmtId="0" fontId="23" fillId="3" borderId="0" xfId="0" applyFont="1" applyFill="1" applyAlignment="1" applyProtection="1">
      <alignment horizontal="right"/>
    </xf>
    <xf numFmtId="0" fontId="25" fillId="3" borderId="0" xfId="0" applyFont="1" applyFill="1" applyAlignment="1" applyProtection="1">
      <alignment horizontal="left"/>
    </xf>
    <xf numFmtId="0" fontId="17" fillId="3" borderId="0" xfId="0" applyFont="1" applyFill="1" applyAlignment="1" applyProtection="1">
      <alignment horizontal="center"/>
    </xf>
    <xf numFmtId="0" fontId="17" fillId="3" borderId="0" xfId="0" applyFont="1" applyFill="1" applyAlignment="1" applyProtection="1">
      <alignment horizontal="left"/>
    </xf>
    <xf numFmtId="0" fontId="10" fillId="2" borderId="0" xfId="0" applyFont="1" applyFill="1" applyAlignment="1" applyProtection="1">
      <alignment horizontal="left" vertical="center"/>
    </xf>
    <xf numFmtId="0" fontId="11" fillId="4" borderId="0" xfId="0" applyFont="1" applyFill="1" applyBorder="1" applyProtection="1"/>
    <xf numFmtId="0" fontId="0" fillId="2" borderId="2" xfId="0" applyFill="1" applyBorder="1" applyAlignment="1" applyProtection="1">
      <alignment horizontal="right"/>
    </xf>
    <xf numFmtId="167" fontId="0" fillId="2" borderId="2" xfId="0" applyNumberFormat="1" applyFill="1" applyBorder="1" applyAlignment="1" applyProtection="1">
      <alignment horizontal="right"/>
    </xf>
    <xf numFmtId="0" fontId="13" fillId="2" borderId="0" xfId="0" applyFont="1" applyFill="1" applyAlignment="1" applyProtection="1">
      <alignment horizontal="right"/>
    </xf>
    <xf numFmtId="0" fontId="13" fillId="0" borderId="0" xfId="0" applyFont="1" applyFill="1" applyBorder="1" applyAlignment="1" applyProtection="1">
      <alignment horizontal="right"/>
    </xf>
    <xf numFmtId="164" fontId="0" fillId="2" borderId="2" xfId="0" applyNumberFormat="1" applyFill="1" applyBorder="1" applyProtection="1"/>
    <xf numFmtId="166" fontId="0" fillId="2" borderId="2" xfId="0" applyNumberFormat="1" applyFill="1" applyBorder="1" applyProtection="1"/>
    <xf numFmtId="0" fontId="13" fillId="0" borderId="0" xfId="0" applyFont="1" applyFill="1" applyAlignment="1" applyProtection="1">
      <alignment horizontal="right"/>
    </xf>
    <xf numFmtId="0" fontId="0" fillId="4" borderId="0" xfId="0" applyFill="1" applyBorder="1" applyProtection="1"/>
    <xf numFmtId="1" fontId="13" fillId="2" borderId="0" xfId="0" applyNumberFormat="1" applyFont="1" applyFill="1" applyAlignment="1" applyProtection="1">
      <alignment horizontal="left"/>
    </xf>
    <xf numFmtId="0" fontId="11" fillId="0" borderId="3" xfId="0" applyFont="1" applyFill="1" applyBorder="1" applyAlignment="1" applyProtection="1">
      <alignment horizontal="left"/>
    </xf>
    <xf numFmtId="165" fontId="11" fillId="0" borderId="3" xfId="0" applyNumberFormat="1" applyFont="1" applyFill="1" applyBorder="1" applyAlignment="1" applyProtection="1">
      <alignment horizontal="left" indent="3"/>
    </xf>
    <xf numFmtId="10" fontId="9" fillId="2" borderId="3" xfId="2" applyNumberFormat="1" applyFont="1" applyFill="1" applyBorder="1" applyProtection="1"/>
    <xf numFmtId="171" fontId="10" fillId="0" borderId="3" xfId="2" applyNumberFormat="1" applyFont="1" applyFill="1" applyBorder="1" applyAlignment="1" applyProtection="1">
      <alignment horizontal="left" indent="3"/>
    </xf>
    <xf numFmtId="10" fontId="16" fillId="2" borderId="3" xfId="2" applyNumberFormat="1" applyFont="1" applyFill="1" applyBorder="1" applyProtection="1"/>
    <xf numFmtId="0" fontId="11" fillId="4" borderId="2" xfId="0" applyFont="1" applyFill="1" applyBorder="1" applyAlignment="1" applyProtection="1">
      <alignment horizontal="center"/>
    </xf>
    <xf numFmtId="0" fontId="27" fillId="2" borderId="0" xfId="0" applyFont="1" applyFill="1" applyProtection="1"/>
    <xf numFmtId="0" fontId="28" fillId="2" borderId="0" xfId="0" quotePrefix="1" applyFont="1" applyFill="1" applyProtection="1"/>
    <xf numFmtId="0" fontId="0" fillId="4" borderId="0" xfId="0" applyFill="1" applyProtection="1"/>
    <xf numFmtId="0" fontId="0" fillId="2" borderId="2" xfId="0" applyFill="1" applyBorder="1" applyAlignment="1" applyProtection="1">
      <alignment horizontal="left"/>
    </xf>
    <xf numFmtId="165" fontId="11" fillId="0" borderId="4" xfId="0" applyNumberFormat="1" applyFont="1" applyBorder="1"/>
    <xf numFmtId="165" fontId="0" fillId="2" borderId="4" xfId="0" applyNumberFormat="1" applyFill="1" applyBorder="1" applyProtection="1"/>
    <xf numFmtId="165" fontId="11" fillId="0" borderId="0" xfId="0" applyNumberFormat="1" applyFont="1" applyBorder="1"/>
    <xf numFmtId="0" fontId="28" fillId="2" borderId="0" xfId="0" applyFont="1" applyFill="1" applyProtection="1"/>
    <xf numFmtId="0" fontId="22" fillId="0" borderId="0" xfId="1" applyFont="1" applyFill="1" applyBorder="1" applyAlignment="1" applyProtection="1">
      <alignment horizontal="left"/>
    </xf>
    <xf numFmtId="165" fontId="28" fillId="2" borderId="0" xfId="0" applyNumberFormat="1" applyFont="1" applyFill="1" applyAlignment="1" applyProtection="1">
      <alignment horizontal="right"/>
    </xf>
    <xf numFmtId="0" fontId="0" fillId="5" borderId="1" xfId="0" applyFill="1" applyBorder="1" applyProtection="1"/>
    <xf numFmtId="0" fontId="0" fillId="5" borderId="1" xfId="0" applyFill="1" applyBorder="1" applyAlignment="1" applyProtection="1">
      <alignment horizontal="right"/>
    </xf>
    <xf numFmtId="0" fontId="0" fillId="2" borderId="1" xfId="0" applyFill="1" applyBorder="1" applyAlignment="1" applyProtection="1">
      <alignment horizontal="left"/>
    </xf>
    <xf numFmtId="0" fontId="11" fillId="2" borderId="1" xfId="0" applyFont="1" applyFill="1" applyBorder="1" applyProtection="1"/>
    <xf numFmtId="0" fontId="12" fillId="6" borderId="0" xfId="0" applyFont="1" applyFill="1" applyProtection="1"/>
    <xf numFmtId="0" fontId="12" fillId="6" borderId="0" xfId="0" applyFont="1" applyFill="1" applyAlignment="1" applyProtection="1">
      <alignment horizontal="right"/>
    </xf>
    <xf numFmtId="0" fontId="12" fillId="6" borderId="0" xfId="0" applyFont="1" applyFill="1" applyAlignment="1" applyProtection="1">
      <alignment horizontal="left"/>
    </xf>
    <xf numFmtId="0" fontId="29" fillId="6" borderId="0" xfId="0" applyFont="1" applyFill="1" applyProtection="1"/>
    <xf numFmtId="0" fontId="29" fillId="6" borderId="0" xfId="0" applyFont="1" applyFill="1" applyAlignment="1" applyProtection="1">
      <alignment horizontal="right"/>
    </xf>
    <xf numFmtId="0" fontId="30" fillId="6" borderId="0" xfId="0" applyFont="1" applyFill="1" applyProtection="1"/>
    <xf numFmtId="0" fontId="30" fillId="6" borderId="0" xfId="0" applyFont="1" applyFill="1" applyAlignment="1" applyProtection="1">
      <alignment horizontal="right"/>
    </xf>
    <xf numFmtId="0" fontId="30" fillId="6" borderId="0" xfId="0" applyFont="1" applyFill="1" applyAlignment="1" applyProtection="1">
      <alignment horizontal="left"/>
    </xf>
    <xf numFmtId="0" fontId="31" fillId="2" borderId="0" xfId="0" applyFont="1" applyFill="1" applyProtection="1"/>
    <xf numFmtId="0" fontId="31" fillId="2" borderId="0" xfId="0" applyFont="1" applyFill="1" applyAlignment="1" applyProtection="1">
      <alignment horizontal="right"/>
    </xf>
    <xf numFmtId="0" fontId="30" fillId="2" borderId="0" xfId="0" applyFont="1" applyFill="1" applyAlignment="1" applyProtection="1">
      <alignment horizontal="left"/>
    </xf>
    <xf numFmtId="0" fontId="30" fillId="2" borderId="0" xfId="0" applyFont="1" applyFill="1" applyProtection="1"/>
    <xf numFmtId="0" fontId="30" fillId="2" borderId="2" xfId="0" applyFont="1" applyFill="1" applyBorder="1" applyProtection="1"/>
    <xf numFmtId="10" fontId="32" fillId="2" borderId="2" xfId="2" applyNumberFormat="1" applyFont="1" applyFill="1" applyBorder="1" applyAlignment="1" applyProtection="1">
      <alignment horizontal="left"/>
    </xf>
    <xf numFmtId="2" fontId="28" fillId="2" borderId="2" xfId="0" applyNumberFormat="1" applyFont="1" applyFill="1" applyBorder="1" applyAlignment="1" applyProtection="1">
      <alignment horizontal="left"/>
    </xf>
    <xf numFmtId="167" fontId="28" fillId="2" borderId="2" xfId="0" applyNumberFormat="1" applyFont="1" applyFill="1" applyBorder="1" applyAlignment="1" applyProtection="1">
      <alignment horizontal="left"/>
    </xf>
    <xf numFmtId="0" fontId="28" fillId="2" borderId="2" xfId="0" applyFont="1" applyFill="1" applyBorder="1" applyAlignment="1" applyProtection="1">
      <alignment horizontal="left"/>
    </xf>
    <xf numFmtId="0" fontId="11" fillId="2" borderId="0" xfId="0" applyFont="1" applyFill="1" applyBorder="1" applyProtection="1"/>
    <xf numFmtId="166" fontId="11" fillId="0" borderId="0" xfId="0" quotePrefix="1" applyNumberFormat="1" applyFont="1" applyFill="1" applyBorder="1" applyAlignment="1" applyProtection="1">
      <alignment horizontal="right"/>
    </xf>
    <xf numFmtId="166" fontId="11" fillId="2" borderId="0" xfId="0" quotePrefix="1" applyNumberFormat="1" applyFont="1" applyFill="1" applyBorder="1" applyAlignment="1" applyProtection="1">
      <alignment horizontal="right"/>
    </xf>
    <xf numFmtId="166" fontId="33" fillId="0" borderId="2" xfId="0" applyNumberFormat="1" applyFont="1" applyFill="1" applyBorder="1" applyAlignment="1" applyProtection="1">
      <alignment horizontal="center"/>
    </xf>
    <xf numFmtId="10" fontId="34" fillId="2" borderId="2" xfId="2" applyNumberFormat="1" applyFont="1" applyFill="1" applyBorder="1" applyAlignment="1" applyProtection="1">
      <alignment horizontal="left"/>
    </xf>
    <xf numFmtId="166" fontId="11" fillId="2" borderId="0" xfId="0" applyNumberFormat="1" applyFont="1" applyFill="1" applyBorder="1" applyAlignment="1" applyProtection="1">
      <alignment horizontal="right"/>
    </xf>
    <xf numFmtId="164" fontId="34" fillId="0" borderId="0" xfId="0" applyNumberFormat="1" applyFont="1" applyFill="1" applyBorder="1" applyAlignment="1" applyProtection="1">
      <alignment horizontal="left" indent="3"/>
    </xf>
    <xf numFmtId="1" fontId="34" fillId="2" borderId="0" xfId="2" applyNumberFormat="1" applyFont="1" applyFill="1" applyBorder="1" applyAlignment="1" applyProtection="1">
      <alignment horizontal="left"/>
    </xf>
    <xf numFmtId="1" fontId="34" fillId="2" borderId="0" xfId="0" applyNumberFormat="1" applyFont="1" applyFill="1" applyAlignment="1" applyProtection="1">
      <alignment horizontal="left"/>
    </xf>
    <xf numFmtId="2" fontId="28" fillId="2" borderId="0" xfId="0" applyNumberFormat="1" applyFont="1" applyFill="1" applyAlignment="1" applyProtection="1">
      <alignment horizontal="left"/>
    </xf>
    <xf numFmtId="166" fontId="11" fillId="0" borderId="2" xfId="0" applyNumberFormat="1" applyFont="1" applyFill="1" applyBorder="1" applyAlignment="1" applyProtection="1">
      <alignment horizontal="right"/>
    </xf>
    <xf numFmtId="0" fontId="30" fillId="2" borderId="0" xfId="0" applyFont="1" applyFill="1" applyAlignment="1" applyProtection="1">
      <alignment horizontal="right"/>
    </xf>
    <xf numFmtId="1" fontId="34" fillId="2" borderId="2" xfId="2" applyNumberFormat="1" applyFont="1" applyFill="1" applyBorder="1" applyAlignment="1" applyProtection="1">
      <alignment horizontal="left"/>
    </xf>
    <xf numFmtId="1" fontId="34" fillId="2" borderId="2" xfId="0" applyNumberFormat="1" applyFont="1" applyFill="1" applyBorder="1" applyAlignment="1" applyProtection="1">
      <alignment horizontal="left"/>
    </xf>
    <xf numFmtId="0" fontId="1" fillId="2" borderId="0" xfId="0" applyFont="1" applyFill="1" applyProtection="1"/>
    <xf numFmtId="0" fontId="31" fillId="2" borderId="0" xfId="0" applyFont="1" applyFill="1" applyAlignment="1" applyProtection="1">
      <alignment horizontal="left"/>
    </xf>
    <xf numFmtId="0" fontId="35" fillId="2" borderId="0" xfId="0" applyFont="1" applyFill="1" applyProtection="1"/>
    <xf numFmtId="0" fontId="35" fillId="2" borderId="0" xfId="0" applyFont="1" applyFill="1" applyAlignment="1" applyProtection="1">
      <alignment horizontal="right"/>
    </xf>
    <xf numFmtId="0" fontId="35" fillId="2" borderId="0" xfId="0" applyFont="1" applyFill="1" applyAlignment="1" applyProtection="1">
      <alignment horizontal="left"/>
    </xf>
    <xf numFmtId="0" fontId="36" fillId="2" borderId="0" xfId="0" applyFont="1" applyFill="1" applyAlignment="1" applyProtection="1">
      <alignment horizontal="center"/>
    </xf>
    <xf numFmtId="0" fontId="36" fillId="2" borderId="0" xfId="0" quotePrefix="1" applyFont="1" applyFill="1" applyAlignment="1" applyProtection="1">
      <alignment horizontal="center"/>
    </xf>
    <xf numFmtId="0" fontId="35" fillId="2" borderId="5" xfId="0" applyFont="1" applyFill="1" applyBorder="1" applyAlignment="1" applyProtection="1">
      <alignment horizontal="center"/>
    </xf>
    <xf numFmtId="0" fontId="35" fillId="2" borderId="6" xfId="0" applyFont="1" applyFill="1" applyBorder="1" applyAlignment="1" applyProtection="1">
      <alignment horizontal="center"/>
    </xf>
    <xf numFmtId="168" fontId="35" fillId="2" borderId="4" xfId="0" applyNumberFormat="1" applyFont="1" applyFill="1" applyBorder="1" applyAlignment="1" applyProtection="1">
      <alignment horizontal="center"/>
    </xf>
    <xf numFmtId="168" fontId="36" fillId="2" borderId="7" xfId="0" applyNumberFormat="1" applyFont="1" applyFill="1" applyBorder="1" applyAlignment="1" applyProtection="1">
      <alignment horizontal="center"/>
    </xf>
    <xf numFmtId="168" fontId="36" fillId="2" borderId="8" xfId="0" applyNumberFormat="1" applyFont="1" applyFill="1" applyBorder="1" applyAlignment="1" applyProtection="1">
      <alignment horizontal="center"/>
    </xf>
    <xf numFmtId="0" fontId="35" fillId="2" borderId="9" xfId="0" applyFont="1" applyFill="1" applyBorder="1" applyAlignment="1" applyProtection="1">
      <alignment horizontal="center"/>
    </xf>
    <xf numFmtId="0" fontId="35" fillId="2" borderId="10" xfId="0" applyFont="1" applyFill="1" applyBorder="1" applyAlignment="1" applyProtection="1">
      <alignment horizontal="center"/>
    </xf>
    <xf numFmtId="168" fontId="35" fillId="2" borderId="2" xfId="0" applyNumberFormat="1" applyFont="1" applyFill="1" applyBorder="1" applyAlignment="1" applyProtection="1">
      <alignment horizontal="center"/>
    </xf>
    <xf numFmtId="10" fontId="37" fillId="2" borderId="11" xfId="2" applyNumberFormat="1" applyFont="1" applyFill="1" applyBorder="1" applyAlignment="1" applyProtection="1">
      <alignment horizontal="center"/>
    </xf>
    <xf numFmtId="10" fontId="37" fillId="2" borderId="12" xfId="2" applyNumberFormat="1" applyFont="1" applyFill="1" applyBorder="1" applyAlignment="1" applyProtection="1">
      <alignment horizontal="center"/>
    </xf>
    <xf numFmtId="168" fontId="35" fillId="2" borderId="0" xfId="0" applyNumberFormat="1" applyFont="1" applyFill="1" applyAlignment="1" applyProtection="1">
      <alignment horizontal="center"/>
    </xf>
    <xf numFmtId="0" fontId="35" fillId="2" borderId="0" xfId="0" applyFont="1" applyFill="1" applyAlignment="1" applyProtection="1">
      <alignment horizontal="center"/>
    </xf>
    <xf numFmtId="0" fontId="36" fillId="2" borderId="0" xfId="0" applyFont="1" applyFill="1" applyProtection="1"/>
    <xf numFmtId="169" fontId="35" fillId="2" borderId="0" xfId="2" applyNumberFormat="1" applyFont="1" applyFill="1" applyAlignment="1" applyProtection="1">
      <alignment horizontal="center"/>
    </xf>
    <xf numFmtId="167" fontId="35" fillId="2" borderId="6" xfId="0" applyNumberFormat="1" applyFont="1" applyFill="1" applyBorder="1" applyAlignment="1" applyProtection="1">
      <alignment horizontal="center"/>
    </xf>
    <xf numFmtId="167" fontId="35" fillId="2" borderId="4" xfId="0" applyNumberFormat="1" applyFont="1" applyFill="1" applyBorder="1" applyAlignment="1" applyProtection="1">
      <alignment horizontal="center"/>
    </xf>
    <xf numFmtId="0" fontId="38" fillId="2" borderId="0" xfId="0" applyFont="1" applyFill="1" applyProtection="1"/>
    <xf numFmtId="0" fontId="38" fillId="2" borderId="0" xfId="0" applyFont="1" applyFill="1" applyAlignment="1" applyProtection="1">
      <alignment horizontal="right"/>
    </xf>
    <xf numFmtId="0" fontId="38" fillId="2" borderId="0" xfId="0" applyFont="1" applyFill="1" applyAlignment="1" applyProtection="1">
      <alignment horizontal="left"/>
    </xf>
    <xf numFmtId="0" fontId="0" fillId="2" borderId="2" xfId="0" applyFill="1" applyBorder="1" applyAlignment="1" applyProtection="1">
      <alignment horizontal="center"/>
    </xf>
    <xf numFmtId="164" fontId="11" fillId="0" borderId="0" xfId="0" applyNumberFormat="1" applyFont="1" applyFill="1" applyBorder="1" applyAlignment="1" applyProtection="1">
      <alignment horizontal="right"/>
    </xf>
    <xf numFmtId="10" fontId="9" fillId="2" borderId="0" xfId="2" applyNumberFormat="1" applyFont="1" applyFill="1" applyBorder="1" applyAlignment="1" applyProtection="1">
      <alignment horizontal="right"/>
    </xf>
    <xf numFmtId="0" fontId="10" fillId="0" borderId="0" xfId="0" applyFont="1" applyFill="1" applyBorder="1" applyProtection="1"/>
    <xf numFmtId="0" fontId="11" fillId="2" borderId="0" xfId="0" applyFont="1" applyFill="1" applyBorder="1" applyAlignment="1" applyProtection="1">
      <alignment horizontal="right"/>
    </xf>
    <xf numFmtId="0" fontId="11" fillId="0" borderId="0" xfId="0" applyFont="1" applyFill="1" applyBorder="1" applyAlignment="1" applyProtection="1">
      <alignment horizontal="right"/>
    </xf>
    <xf numFmtId="0" fontId="35" fillId="2" borderId="0" xfId="2" applyNumberFormat="1" applyFont="1" applyFill="1" applyAlignment="1" applyProtection="1">
      <alignment horizontal="center"/>
    </xf>
    <xf numFmtId="0" fontId="1" fillId="2" borderId="0" xfId="0" applyFont="1" applyFill="1" applyAlignment="1" applyProtection="1">
      <alignment horizontal="right"/>
    </xf>
    <xf numFmtId="0" fontId="1" fillId="2" borderId="5" xfId="0" applyFont="1" applyFill="1" applyBorder="1" applyProtection="1"/>
    <xf numFmtId="0" fontId="38" fillId="2" borderId="5" xfId="0" applyFont="1" applyFill="1" applyBorder="1" applyProtection="1"/>
    <xf numFmtId="0" fontId="10" fillId="2" borderId="0" xfId="0" applyFont="1" applyFill="1" applyBorder="1" applyAlignment="1" applyProtection="1">
      <alignment horizontal="right"/>
    </xf>
    <xf numFmtId="0" fontId="10" fillId="2" borderId="0" xfId="0" applyFont="1" applyFill="1" applyBorder="1" applyAlignment="1" applyProtection="1">
      <alignment horizontal="left"/>
    </xf>
    <xf numFmtId="0" fontId="10" fillId="2" borderId="2" xfId="0" applyFont="1" applyFill="1" applyBorder="1" applyProtection="1"/>
    <xf numFmtId="166" fontId="0" fillId="2" borderId="2" xfId="0" applyNumberFormat="1" applyFill="1" applyBorder="1" applyAlignment="1" applyProtection="1">
      <alignment horizontal="center"/>
    </xf>
    <xf numFmtId="0" fontId="17" fillId="0" borderId="3" xfId="0" applyFont="1" applyFill="1" applyBorder="1" applyProtection="1"/>
    <xf numFmtId="1" fontId="11" fillId="2" borderId="0" xfId="0" quotePrefix="1" applyNumberFormat="1" applyFont="1" applyFill="1" applyBorder="1" applyAlignment="1" applyProtection="1"/>
    <xf numFmtId="1" fontId="11" fillId="2" borderId="2" xfId="0" quotePrefix="1" applyNumberFormat="1" applyFont="1" applyFill="1" applyBorder="1" applyAlignment="1" applyProtection="1"/>
    <xf numFmtId="168" fontId="0" fillId="2" borderId="0" xfId="0" applyNumberFormat="1" applyFill="1" applyAlignment="1" applyProtection="1">
      <alignment horizontal="left"/>
    </xf>
    <xf numFmtId="167" fontId="0" fillId="2" borderId="0" xfId="0" applyNumberFormat="1" applyFill="1" applyAlignment="1" applyProtection="1">
      <alignment horizontal="right"/>
    </xf>
    <xf numFmtId="10" fontId="0" fillId="2" borderId="0" xfId="0" applyNumberFormat="1" applyFill="1" applyBorder="1" applyProtection="1"/>
    <xf numFmtId="0" fontId="0" fillId="2" borderId="0" xfId="0" applyFill="1" applyBorder="1" applyAlignment="1" applyProtection="1">
      <alignment horizontal="center"/>
    </xf>
    <xf numFmtId="0" fontId="0" fillId="2" borderId="0" xfId="0" quotePrefix="1" applyFill="1" applyBorder="1" applyAlignment="1" applyProtection="1">
      <alignment horizontal="center"/>
    </xf>
    <xf numFmtId="167" fontId="0" fillId="2" borderId="2" xfId="0" applyNumberFormat="1" applyFill="1" applyBorder="1" applyProtection="1"/>
    <xf numFmtId="10" fontId="0" fillId="2" borderId="2" xfId="0" applyNumberFormat="1" applyFill="1" applyBorder="1" applyProtection="1"/>
    <xf numFmtId="167" fontId="0" fillId="7" borderId="1" xfId="0" applyNumberFormat="1" applyFill="1" applyBorder="1" applyProtection="1"/>
    <xf numFmtId="0" fontId="0" fillId="7" borderId="0" xfId="0" applyFill="1" applyProtection="1"/>
    <xf numFmtId="0" fontId="0" fillId="2" borderId="0" xfId="0" applyFill="1" applyAlignment="1" applyProtection="1">
      <alignment horizontal="center"/>
    </xf>
    <xf numFmtId="0" fontId="39" fillId="2" borderId="2" xfId="0" applyFont="1" applyFill="1" applyBorder="1" applyAlignment="1" applyProtection="1">
      <alignment horizontal="center"/>
    </xf>
    <xf numFmtId="10" fontId="39" fillId="2" borderId="2" xfId="2" applyNumberFormat="1" applyFont="1" applyFill="1" applyBorder="1" applyAlignment="1" applyProtection="1">
      <alignment horizontal="center"/>
    </xf>
    <xf numFmtId="0" fontId="3" fillId="2" borderId="0" xfId="0" applyFont="1" applyFill="1" applyBorder="1" applyProtection="1"/>
    <xf numFmtId="0" fontId="40" fillId="2" borderId="2" xfId="0" applyFont="1" applyFill="1" applyBorder="1" applyAlignment="1" applyProtection="1">
      <alignment horizontal="right"/>
    </xf>
    <xf numFmtId="164" fontId="40" fillId="2" borderId="0" xfId="0" applyNumberFormat="1" applyFont="1" applyFill="1" applyAlignment="1" applyProtection="1"/>
    <xf numFmtId="164" fontId="40" fillId="2" borderId="2" xfId="0" applyNumberFormat="1" applyFont="1" applyFill="1" applyBorder="1" applyAlignment="1" applyProtection="1"/>
    <xf numFmtId="0" fontId="19" fillId="2" borderId="1" xfId="0" applyFont="1" applyFill="1" applyBorder="1" applyProtection="1"/>
    <xf numFmtId="165" fontId="11" fillId="0" borderId="2" xfId="0" applyNumberFormat="1" applyFont="1" applyBorder="1" applyProtection="1"/>
    <xf numFmtId="0" fontId="10" fillId="2" borderId="0" xfId="0" applyFont="1" applyFill="1" applyBorder="1" applyProtection="1"/>
    <xf numFmtId="0" fontId="14" fillId="2" borderId="0" xfId="0" applyFont="1" applyFill="1" applyBorder="1" applyAlignment="1" applyProtection="1">
      <alignment horizontal="left"/>
    </xf>
    <xf numFmtId="164" fontId="11" fillId="0" borderId="0" xfId="0" applyNumberFormat="1" applyFont="1" applyFill="1" applyBorder="1" applyProtection="1"/>
    <xf numFmtId="0" fontId="11" fillId="2" borderId="0" xfId="0" applyFont="1" applyFill="1" applyAlignment="1" applyProtection="1">
      <alignment horizontal="right"/>
    </xf>
    <xf numFmtId="0" fontId="2" fillId="2" borderId="0" xfId="1" applyFill="1" applyAlignment="1" applyProtection="1">
      <alignment horizontal="left"/>
    </xf>
    <xf numFmtId="165" fontId="11" fillId="0" borderId="0" xfId="0" applyNumberFormat="1" applyFont="1" applyBorder="1" applyProtection="1"/>
    <xf numFmtId="0" fontId="11" fillId="3" borderId="0" xfId="0" applyFont="1" applyFill="1" applyAlignment="1" applyProtection="1">
      <alignment horizontal="right"/>
    </xf>
    <xf numFmtId="0" fontId="28" fillId="2" borderId="0" xfId="0" applyFont="1" applyFill="1" applyAlignment="1" applyProtection="1">
      <alignment horizontal="right"/>
    </xf>
    <xf numFmtId="164" fontId="10" fillId="0" borderId="2" xfId="0" applyNumberFormat="1" applyFont="1" applyFill="1" applyBorder="1" applyProtection="1"/>
    <xf numFmtId="164" fontId="28" fillId="2" borderId="0" xfId="0" applyNumberFormat="1" applyFont="1" applyFill="1" applyProtection="1"/>
    <xf numFmtId="1" fontId="11" fillId="2" borderId="0" xfId="0" applyNumberFormat="1" applyFont="1" applyFill="1" applyAlignment="1" applyProtection="1">
      <alignment horizontal="right"/>
    </xf>
    <xf numFmtId="164" fontId="11" fillId="2" borderId="0" xfId="0" applyNumberFormat="1" applyFont="1" applyFill="1" applyAlignment="1" applyProtection="1">
      <alignment horizontal="right"/>
    </xf>
    <xf numFmtId="0" fontId="10" fillId="2" borderId="1" xfId="0" applyFont="1" applyFill="1" applyBorder="1" applyAlignment="1" applyProtection="1">
      <alignment horizontal="right"/>
    </xf>
    <xf numFmtId="0" fontId="0" fillId="0" borderId="2" xfId="0" applyBorder="1"/>
    <xf numFmtId="166" fontId="0" fillId="8" borderId="4" xfId="0" applyNumberFormat="1" applyFill="1" applyBorder="1" applyAlignment="1" applyProtection="1">
      <alignment horizontal="left"/>
    </xf>
    <xf numFmtId="10" fontId="39" fillId="8" borderId="4" xfId="2" applyNumberFormat="1" applyFont="1" applyFill="1" applyBorder="1" applyAlignment="1" applyProtection="1">
      <alignment horizontal="center"/>
    </xf>
    <xf numFmtId="164" fontId="0" fillId="8" borderId="4" xfId="0" applyNumberFormat="1" applyFill="1" applyBorder="1" applyAlignment="1" applyProtection="1">
      <alignment horizontal="center"/>
    </xf>
    <xf numFmtId="10" fontId="39" fillId="8" borderId="0" xfId="2" applyNumberFormat="1" applyFont="1" applyFill="1" applyBorder="1" applyAlignment="1" applyProtection="1">
      <alignment horizontal="center"/>
    </xf>
    <xf numFmtId="166" fontId="0" fillId="8" borderId="2" xfId="0" applyNumberFormat="1" applyFill="1" applyBorder="1" applyAlignment="1" applyProtection="1">
      <alignment horizontal="left"/>
    </xf>
    <xf numFmtId="10" fontId="39" fillId="8" borderId="2" xfId="2" applyNumberFormat="1" applyFont="1" applyFill="1" applyBorder="1" applyAlignment="1" applyProtection="1">
      <alignment horizontal="center"/>
    </xf>
    <xf numFmtId="164" fontId="0" fillId="8" borderId="2" xfId="0" applyNumberFormat="1" applyFill="1" applyBorder="1" applyAlignment="1" applyProtection="1">
      <alignment horizontal="center"/>
    </xf>
    <xf numFmtId="0" fontId="10" fillId="0" borderId="0" xfId="0" applyFont="1"/>
    <xf numFmtId="0" fontId="0" fillId="0" borderId="0" xfId="0" applyProtection="1">
      <protection locked="0"/>
    </xf>
    <xf numFmtId="0" fontId="0" fillId="0" borderId="13" xfId="0" applyBorder="1" applyProtection="1">
      <protection locked="0"/>
    </xf>
    <xf numFmtId="0" fontId="0" fillId="8" borderId="3" xfId="0" applyFill="1" applyBorder="1" applyProtection="1">
      <protection locked="0"/>
    </xf>
    <xf numFmtId="0" fontId="0" fillId="8" borderId="3" xfId="0" applyFill="1" applyBorder="1" applyAlignment="1" applyProtection="1">
      <alignment horizontal="center"/>
      <protection locked="0"/>
    </xf>
    <xf numFmtId="0" fontId="41" fillId="8" borderId="0" xfId="0" applyFont="1" applyFill="1" applyBorder="1" applyAlignment="1" applyProtection="1">
      <alignment horizontal="center"/>
      <protection locked="0"/>
    </xf>
    <xf numFmtId="0" fontId="42" fillId="8" borderId="15" xfId="0" applyFont="1" applyFill="1" applyBorder="1" applyAlignment="1" applyProtection="1">
      <alignment horizontal="center"/>
      <protection locked="0"/>
    </xf>
    <xf numFmtId="0" fontId="0" fillId="8" borderId="0" xfId="0" applyFill="1" applyBorder="1" applyAlignment="1" applyProtection="1">
      <alignment horizontal="center"/>
      <protection locked="0"/>
    </xf>
    <xf numFmtId="0" fontId="0" fillId="8" borderId="0" xfId="0" applyFill="1" applyBorder="1" applyAlignment="1" applyProtection="1">
      <alignment horizontal="right"/>
      <protection locked="0"/>
    </xf>
    <xf numFmtId="0" fontId="0" fillId="8" borderId="0" xfId="0" applyFill="1" applyBorder="1" applyAlignment="1" applyProtection="1">
      <alignment horizontal="left"/>
      <protection locked="0"/>
    </xf>
    <xf numFmtId="0" fontId="0" fillId="8" borderId="2" xfId="0" applyFill="1" applyBorder="1" applyAlignment="1" applyProtection="1">
      <alignment horizontal="center"/>
      <protection locked="0"/>
    </xf>
    <xf numFmtId="0" fontId="41" fillId="8" borderId="2" xfId="0" applyFont="1" applyFill="1" applyBorder="1" applyAlignment="1" applyProtection="1">
      <alignment horizontal="center"/>
      <protection locked="0"/>
    </xf>
    <xf numFmtId="0" fontId="41" fillId="8" borderId="10" xfId="0" applyFont="1" applyFill="1" applyBorder="1" applyAlignment="1" applyProtection="1">
      <alignment horizontal="center"/>
      <protection locked="0"/>
    </xf>
    <xf numFmtId="0" fontId="0" fillId="8" borderId="13" xfId="0" applyFill="1" applyBorder="1" applyAlignment="1" applyProtection="1">
      <alignment horizontal="center"/>
      <protection locked="0"/>
    </xf>
    <xf numFmtId="0" fontId="0" fillId="8" borderId="14" xfId="0" applyFill="1" applyBorder="1" applyProtection="1">
      <protection locked="0"/>
    </xf>
    <xf numFmtId="166" fontId="0" fillId="8" borderId="4" xfId="0" applyNumberFormat="1" applyFill="1" applyBorder="1" applyAlignment="1" applyProtection="1">
      <alignment horizontal="left"/>
      <protection locked="0"/>
    </xf>
    <xf numFmtId="10" fontId="39" fillId="8" borderId="4" xfId="2" applyNumberFormat="1" applyFont="1" applyFill="1" applyBorder="1" applyAlignment="1" applyProtection="1">
      <alignment horizontal="center"/>
      <protection locked="0"/>
    </xf>
    <xf numFmtId="164" fontId="0" fillId="8" borderId="4" xfId="0" applyNumberFormat="1" applyFill="1" applyBorder="1" applyAlignment="1" applyProtection="1">
      <alignment horizontal="center"/>
      <protection locked="0"/>
    </xf>
    <xf numFmtId="10" fontId="39" fillId="8" borderId="0" xfId="2" applyNumberFormat="1" applyFont="1" applyFill="1" applyBorder="1" applyAlignment="1" applyProtection="1">
      <alignment horizontal="center"/>
      <protection locked="0"/>
    </xf>
    <xf numFmtId="1" fontId="41" fillId="8" borderId="0" xfId="0" applyNumberFormat="1" applyFont="1" applyFill="1" applyBorder="1" applyAlignment="1" applyProtection="1">
      <alignment horizontal="center"/>
      <protection locked="0"/>
    </xf>
    <xf numFmtId="1" fontId="41" fillId="8" borderId="16" xfId="0" applyNumberFormat="1" applyFont="1" applyFill="1" applyBorder="1" applyAlignment="1" applyProtection="1">
      <alignment horizontal="center"/>
      <protection locked="0"/>
    </xf>
    <xf numFmtId="0" fontId="0" fillId="8" borderId="15" xfId="0" applyFill="1" applyBorder="1" applyAlignment="1" applyProtection="1">
      <alignment horizontal="center"/>
      <protection locked="0"/>
    </xf>
    <xf numFmtId="0" fontId="0" fillId="8" borderId="16" xfId="0" applyFill="1" applyBorder="1" applyProtection="1">
      <protection locked="0"/>
    </xf>
    <xf numFmtId="166" fontId="0" fillId="8" borderId="2" xfId="0" applyNumberFormat="1" applyFill="1" applyBorder="1" applyAlignment="1" applyProtection="1">
      <alignment horizontal="left"/>
      <protection locked="0"/>
    </xf>
    <xf numFmtId="10" fontId="39" fillId="8" borderId="2" xfId="2" applyNumberFormat="1" applyFont="1" applyFill="1" applyBorder="1" applyAlignment="1" applyProtection="1">
      <alignment horizontal="center"/>
      <protection locked="0"/>
    </xf>
    <xf numFmtId="164" fontId="0" fillId="8" borderId="2" xfId="0" applyNumberFormat="1" applyFill="1" applyBorder="1" applyAlignment="1" applyProtection="1">
      <alignment horizontal="center"/>
      <protection locked="0"/>
    </xf>
    <xf numFmtId="0" fontId="0" fillId="8" borderId="10" xfId="0" applyFill="1" applyBorder="1" applyProtection="1">
      <protection locked="0"/>
    </xf>
    <xf numFmtId="10" fontId="43" fillId="8" borderId="2" xfId="2" applyNumberFormat="1" applyFont="1" applyFill="1" applyBorder="1" applyAlignment="1" applyProtection="1">
      <alignment horizontal="center"/>
      <protection locked="0"/>
    </xf>
    <xf numFmtId="164" fontId="42" fillId="8" borderId="2" xfId="0" applyNumberFormat="1" applyFont="1" applyFill="1" applyBorder="1" applyAlignment="1" applyProtection="1">
      <alignment horizontal="center"/>
      <protection locked="0"/>
    </xf>
    <xf numFmtId="10" fontId="42" fillId="8" borderId="2" xfId="2" applyNumberFormat="1" applyFont="1" applyFill="1" applyBorder="1" applyAlignment="1" applyProtection="1">
      <alignment horizontal="center"/>
      <protection locked="0"/>
    </xf>
    <xf numFmtId="0" fontId="0" fillId="8" borderId="17" xfId="0" applyFill="1" applyBorder="1" applyAlignment="1" applyProtection="1">
      <alignment horizontal="center"/>
      <protection locked="0"/>
    </xf>
    <xf numFmtId="1" fontId="42" fillId="8" borderId="0" xfId="0" applyNumberFormat="1" applyFont="1" applyFill="1" applyBorder="1" applyAlignment="1" applyProtection="1">
      <alignment horizontal="center"/>
      <protection locked="0"/>
    </xf>
    <xf numFmtId="1" fontId="42" fillId="8" borderId="16" xfId="0" applyNumberFormat="1" applyFont="1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</xf>
    <xf numFmtId="0" fontId="0" fillId="2" borderId="10" xfId="0" applyFill="1" applyBorder="1" applyAlignment="1" applyProtection="1">
      <alignment horizontal="right"/>
    </xf>
    <xf numFmtId="0" fontId="0" fillId="2" borderId="16" xfId="0" applyFill="1" applyBorder="1" applyProtection="1"/>
    <xf numFmtId="0" fontId="0" fillId="2" borderId="15" xfId="0" applyFill="1" applyBorder="1" applyAlignment="1" applyProtection="1">
      <alignment horizontal="right"/>
    </xf>
    <xf numFmtId="0" fontId="0" fillId="2" borderId="17" xfId="0" applyFill="1" applyBorder="1" applyAlignment="1" applyProtection="1">
      <alignment horizontal="right"/>
    </xf>
    <xf numFmtId="0" fontId="0" fillId="2" borderId="10" xfId="0" applyFill="1" applyBorder="1" applyProtection="1"/>
    <xf numFmtId="0" fontId="0" fillId="2" borderId="18" xfId="0" applyFill="1" applyBorder="1" applyAlignment="1" applyProtection="1">
      <alignment horizontal="right"/>
    </xf>
    <xf numFmtId="0" fontId="0" fillId="2" borderId="6" xfId="0" applyFill="1" applyBorder="1" applyAlignment="1" applyProtection="1">
      <alignment horizontal="right"/>
    </xf>
    <xf numFmtId="0" fontId="0" fillId="2" borderId="19" xfId="0" applyFill="1" applyBorder="1" applyProtection="1"/>
    <xf numFmtId="0" fontId="0" fillId="2" borderId="9" xfId="0" applyFill="1" applyBorder="1" applyAlignment="1" applyProtection="1">
      <alignment horizontal="center"/>
    </xf>
    <xf numFmtId="166" fontId="0" fillId="2" borderId="0" xfId="0" applyNumberFormat="1" applyFill="1" applyAlignment="1" applyProtection="1">
      <alignment horizontal="left"/>
    </xf>
    <xf numFmtId="2" fontId="0" fillId="2" borderId="6" xfId="0" applyNumberFormat="1" applyFill="1" applyBorder="1" applyProtection="1"/>
    <xf numFmtId="0" fontId="1" fillId="2" borderId="18" xfId="0" applyFont="1" applyFill="1" applyBorder="1" applyAlignment="1" applyProtection="1">
      <alignment horizontal="right"/>
    </xf>
    <xf numFmtId="2" fontId="0" fillId="2" borderId="18" xfId="0" applyNumberFormat="1" applyFill="1" applyBorder="1" applyAlignment="1" applyProtection="1">
      <alignment horizontal="right"/>
    </xf>
    <xf numFmtId="0" fontId="41" fillId="2" borderId="20" xfId="0" applyFont="1" applyFill="1" applyBorder="1" applyAlignment="1" applyProtection="1">
      <alignment horizontal="center"/>
    </xf>
    <xf numFmtId="166" fontId="41" fillId="2" borderId="15" xfId="0" applyNumberFormat="1" applyFont="1" applyFill="1" applyBorder="1" applyAlignment="1" applyProtection="1">
      <alignment horizontal="right"/>
    </xf>
    <xf numFmtId="0" fontId="41" fillId="2" borderId="16" xfId="0" applyFont="1" applyFill="1" applyBorder="1" applyProtection="1"/>
    <xf numFmtId="166" fontId="41" fillId="2" borderId="15" xfId="0" applyNumberFormat="1" applyFont="1" applyFill="1" applyBorder="1" applyProtection="1"/>
    <xf numFmtId="0" fontId="45" fillId="2" borderId="15" xfId="0" applyFont="1" applyFill="1" applyBorder="1" applyAlignment="1" applyProtection="1">
      <alignment horizontal="right"/>
    </xf>
    <xf numFmtId="0" fontId="41" fillId="2" borderId="16" xfId="0" applyFont="1" applyFill="1" applyBorder="1" applyAlignment="1" applyProtection="1">
      <alignment horizontal="right"/>
    </xf>
    <xf numFmtId="0" fontId="41" fillId="2" borderId="9" xfId="0" applyFont="1" applyFill="1" applyBorder="1" applyAlignment="1" applyProtection="1">
      <alignment horizontal="center"/>
    </xf>
    <xf numFmtId="0" fontId="45" fillId="2" borderId="17" xfId="0" applyFont="1" applyFill="1" applyBorder="1" applyAlignment="1" applyProtection="1">
      <alignment horizontal="right"/>
    </xf>
    <xf numFmtId="0" fontId="41" fillId="2" borderId="10" xfId="0" applyFont="1" applyFill="1" applyBorder="1" applyAlignment="1" applyProtection="1">
      <alignment horizontal="right"/>
    </xf>
    <xf numFmtId="0" fontId="1" fillId="2" borderId="0" xfId="0" quotePrefix="1" applyFont="1" applyFill="1" applyAlignment="1" applyProtection="1">
      <alignment horizontal="right"/>
    </xf>
    <xf numFmtId="2" fontId="0" fillId="2" borderId="0" xfId="0" applyNumberFormat="1" applyFill="1" applyAlignment="1" applyProtection="1">
      <alignment horizontal="left"/>
    </xf>
    <xf numFmtId="164" fontId="40" fillId="2" borderId="0" xfId="0" applyNumberFormat="1" applyFont="1" applyFill="1" applyBorder="1" applyAlignment="1" applyProtection="1"/>
    <xf numFmtId="0" fontId="1" fillId="2" borderId="2" xfId="0" applyFont="1" applyFill="1" applyBorder="1" applyAlignment="1" applyProtection="1"/>
    <xf numFmtId="164" fontId="18" fillId="2" borderId="0" xfId="0" applyNumberFormat="1" applyFont="1" applyFill="1" applyBorder="1" applyAlignment="1" applyProtection="1"/>
    <xf numFmtId="1" fontId="0" fillId="2" borderId="4" xfId="0" applyNumberFormat="1" applyFill="1" applyBorder="1" applyProtection="1"/>
    <xf numFmtId="0" fontId="1" fillId="2" borderId="4" xfId="0" applyFont="1" applyFill="1" applyBorder="1" applyProtection="1"/>
    <xf numFmtId="0" fontId="0" fillId="0" borderId="2" xfId="0" applyFill="1" applyBorder="1" applyProtection="1"/>
    <xf numFmtId="170" fontId="11" fillId="2" borderId="0" xfId="0" quotePrefix="1" applyNumberFormat="1" applyFont="1" applyFill="1" applyBorder="1" applyAlignment="1" applyProtection="1"/>
    <xf numFmtId="170" fontId="0" fillId="2" borderId="4" xfId="0" applyNumberFormat="1" applyFill="1" applyBorder="1" applyProtection="1"/>
    <xf numFmtId="170" fontId="11" fillId="2" borderId="2" xfId="0" quotePrefix="1" applyNumberFormat="1" applyFont="1" applyFill="1" applyBorder="1" applyAlignment="1" applyProtection="1"/>
    <xf numFmtId="164" fontId="18" fillId="2" borderId="4" xfId="0" applyNumberFormat="1" applyFont="1" applyFill="1" applyBorder="1" applyProtection="1"/>
    <xf numFmtId="0" fontId="1" fillId="2" borderId="0" xfId="0" applyFont="1" applyFill="1" applyBorder="1" applyProtection="1"/>
    <xf numFmtId="0" fontId="3" fillId="2" borderId="2" xfId="0" applyFont="1" applyFill="1" applyBorder="1" applyProtection="1"/>
    <xf numFmtId="170" fontId="0" fillId="3" borderId="0" xfId="0" applyNumberFormat="1" applyFill="1" applyProtection="1">
      <protection locked="0"/>
    </xf>
    <xf numFmtId="0" fontId="1" fillId="0" borderId="0" xfId="0" applyFont="1" applyAlignment="1" applyProtection="1">
      <alignment horizontal="right"/>
      <protection locked="0"/>
    </xf>
    <xf numFmtId="0" fontId="41" fillId="0" borderId="0" xfId="0" applyFont="1" applyProtection="1">
      <protection locked="0"/>
    </xf>
    <xf numFmtId="0" fontId="0" fillId="0" borderId="0" xfId="0" applyProtection="1"/>
    <xf numFmtId="0" fontId="10" fillId="0" borderId="2" xfId="0" applyFont="1" applyBorder="1" applyProtection="1"/>
    <xf numFmtId="0" fontId="11" fillId="0" borderId="2" xfId="0" applyFont="1" applyBorder="1" applyProtection="1"/>
    <xf numFmtId="0" fontId="0" fillId="0" borderId="2" xfId="0" applyBorder="1" applyProtection="1"/>
    <xf numFmtId="0" fontId="10" fillId="0" borderId="0" xfId="0" applyFont="1" applyProtection="1"/>
    <xf numFmtId="0" fontId="0" fillId="9" borderId="0" xfId="0" applyFill="1" applyProtection="1"/>
    <xf numFmtId="0" fontId="0" fillId="8" borderId="0" xfId="0" applyFill="1" applyProtection="1"/>
    <xf numFmtId="0" fontId="0" fillId="8" borderId="2" xfId="0" applyFill="1" applyBorder="1" applyAlignment="1" applyProtection="1"/>
    <xf numFmtId="0" fontId="0" fillId="8" borderId="0" xfId="0" applyFill="1" applyBorder="1" applyAlignment="1" applyProtection="1">
      <alignment horizontal="center"/>
    </xf>
    <xf numFmtId="0" fontId="0" fillId="8" borderId="2" xfId="0" applyFill="1" applyBorder="1" applyProtection="1"/>
    <xf numFmtId="0" fontId="0" fillId="8" borderId="0" xfId="0" applyFill="1" applyAlignment="1" applyProtection="1">
      <alignment horizontal="center"/>
    </xf>
    <xf numFmtId="0" fontId="0" fillId="8" borderId="0" xfId="0" applyFill="1" applyAlignment="1" applyProtection="1">
      <alignment horizontal="right"/>
    </xf>
    <xf numFmtId="0" fontId="0" fillId="8" borderId="0" xfId="0" applyFill="1" applyAlignment="1" applyProtection="1">
      <alignment horizontal="left"/>
    </xf>
    <xf numFmtId="0" fontId="0" fillId="8" borderId="2" xfId="0" applyFill="1" applyBorder="1" applyAlignment="1" applyProtection="1">
      <alignment horizontal="center"/>
    </xf>
    <xf numFmtId="0" fontId="0" fillId="8" borderId="13" xfId="0" applyFill="1" applyBorder="1" applyAlignment="1" applyProtection="1">
      <alignment horizontal="center"/>
    </xf>
    <xf numFmtId="0" fontId="0" fillId="8" borderId="3" xfId="0" applyFill="1" applyBorder="1" applyAlignment="1" applyProtection="1">
      <alignment horizontal="center"/>
    </xf>
    <xf numFmtId="0" fontId="0" fillId="8" borderId="14" xfId="0" applyFill="1" applyBorder="1" applyProtection="1"/>
    <xf numFmtId="1" fontId="0" fillId="8" borderId="0" xfId="0" applyNumberFormat="1" applyFill="1" applyAlignment="1" applyProtection="1">
      <alignment horizontal="center"/>
    </xf>
    <xf numFmtId="0" fontId="0" fillId="8" borderId="15" xfId="0" applyFill="1" applyBorder="1" applyAlignment="1" applyProtection="1">
      <alignment horizontal="center"/>
    </xf>
    <xf numFmtId="0" fontId="0" fillId="8" borderId="16" xfId="0" applyFill="1" applyBorder="1" applyProtection="1"/>
    <xf numFmtId="0" fontId="0" fillId="8" borderId="0" xfId="0" applyFill="1" applyBorder="1" applyAlignment="1" applyProtection="1">
      <alignment vertical="center"/>
    </xf>
    <xf numFmtId="1" fontId="0" fillId="8" borderId="0" xfId="0" applyNumberFormat="1" applyFill="1" applyBorder="1" applyAlignment="1" applyProtection="1">
      <alignment horizontal="center" vertical="center"/>
    </xf>
    <xf numFmtId="0" fontId="0" fillId="8" borderId="17" xfId="0" applyFill="1" applyBorder="1" applyAlignment="1" applyProtection="1">
      <alignment horizontal="center"/>
    </xf>
    <xf numFmtId="0" fontId="0" fillId="8" borderId="10" xfId="0" applyFill="1" applyBorder="1" applyProtection="1"/>
    <xf numFmtId="0" fontId="0" fillId="8" borderId="2" xfId="0" applyFill="1" applyBorder="1" applyAlignment="1" applyProtection="1">
      <alignment vertical="center"/>
    </xf>
    <xf numFmtId="0" fontId="1" fillId="0" borderId="2" xfId="0" applyFont="1" applyBorder="1" applyProtection="1"/>
    <xf numFmtId="0" fontId="47" fillId="0" borderId="0" xfId="0" applyFont="1" applyProtection="1"/>
    <xf numFmtId="0" fontId="48" fillId="0" borderId="0" xfId="0" applyFont="1" applyProtection="1"/>
    <xf numFmtId="0" fontId="41" fillId="0" borderId="15" xfId="0" applyFont="1" applyBorder="1" applyProtection="1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Border="1"/>
    <xf numFmtId="0" fontId="10" fillId="0" borderId="2" xfId="0" applyFont="1" applyBorder="1"/>
    <xf numFmtId="0" fontId="49" fillId="11" borderId="0" xfId="0" applyFont="1" applyFill="1" applyAlignment="1" applyProtection="1">
      <alignment horizontal="right"/>
    </xf>
    <xf numFmtId="0" fontId="46" fillId="0" borderId="0" xfId="0" applyFont="1" applyProtection="1"/>
    <xf numFmtId="172" fontId="0" fillId="2" borderId="2" xfId="0" applyNumberFormat="1" applyFill="1" applyBorder="1" applyAlignment="1" applyProtection="1">
      <alignment horizontal="right"/>
    </xf>
    <xf numFmtId="0" fontId="1" fillId="2" borderId="2" xfId="0" applyFont="1" applyFill="1" applyBorder="1" applyAlignment="1" applyProtection="1">
      <alignment horizontal="right"/>
    </xf>
    <xf numFmtId="168" fontId="35" fillId="2" borderId="0" xfId="0" applyNumberFormat="1" applyFont="1" applyFill="1" applyProtection="1"/>
    <xf numFmtId="2" fontId="35" fillId="2" borderId="0" xfId="0" applyNumberFormat="1" applyFont="1" applyFill="1" applyProtection="1"/>
    <xf numFmtId="170" fontId="35" fillId="2" borderId="0" xfId="0" applyNumberFormat="1" applyFont="1" applyFill="1" applyProtection="1"/>
    <xf numFmtId="10" fontId="0" fillId="2" borderId="2" xfId="2" applyNumberFormat="1" applyFont="1" applyFill="1" applyBorder="1" applyProtection="1"/>
    <xf numFmtId="0" fontId="0" fillId="12" borderId="1" xfId="0" applyNumberFormat="1" applyFill="1" applyBorder="1" applyAlignment="1" applyProtection="1">
      <alignment horizontal="center"/>
      <protection locked="0"/>
    </xf>
    <xf numFmtId="0" fontId="1" fillId="8" borderId="2" xfId="3" applyFont="1" applyFill="1" applyBorder="1" applyAlignment="1" applyProtection="1">
      <alignment horizontal="right"/>
      <protection locked="0"/>
    </xf>
    <xf numFmtId="0" fontId="1" fillId="8" borderId="2" xfId="3" applyFill="1" applyBorder="1" applyAlignment="1" applyProtection="1">
      <alignment horizontal="right"/>
      <protection locked="0"/>
    </xf>
    <xf numFmtId="0" fontId="1" fillId="0" borderId="0" xfId="3"/>
    <xf numFmtId="0" fontId="1" fillId="8" borderId="0" xfId="3" applyFont="1" applyFill="1" applyProtection="1">
      <protection locked="0"/>
    </xf>
    <xf numFmtId="164" fontId="1" fillId="8" borderId="0" xfId="3" applyNumberFormat="1" applyFill="1" applyProtection="1">
      <protection locked="0"/>
    </xf>
    <xf numFmtId="0" fontId="1" fillId="0" borderId="0" xfId="3" applyFont="1"/>
    <xf numFmtId="0" fontId="1" fillId="10" borderId="0" xfId="3" applyFill="1" applyProtection="1">
      <protection locked="0"/>
    </xf>
    <xf numFmtId="0" fontId="1" fillId="0" borderId="2" xfId="3" applyBorder="1" applyAlignment="1">
      <alignment horizontal="right"/>
    </xf>
    <xf numFmtId="0" fontId="1" fillId="0" borderId="0" xfId="3" applyAlignment="1">
      <alignment horizontal="right"/>
    </xf>
    <xf numFmtId="0" fontId="1" fillId="0" borderId="4" xfId="3" applyBorder="1"/>
    <xf numFmtId="164" fontId="1" fillId="0" borderId="4" xfId="3" applyNumberFormat="1" applyBorder="1"/>
    <xf numFmtId="0" fontId="1" fillId="0" borderId="3" xfId="3" applyBorder="1"/>
    <xf numFmtId="164" fontId="1" fillId="0" borderId="3" xfId="3" applyNumberFormat="1" applyBorder="1"/>
    <xf numFmtId="164" fontId="1" fillId="0" borderId="0" xfId="3" applyNumberFormat="1"/>
    <xf numFmtId="164" fontId="1" fillId="0" borderId="0" xfId="3" applyNumberFormat="1" applyBorder="1"/>
    <xf numFmtId="0" fontId="51" fillId="2" borderId="1" xfId="0" applyFont="1" applyFill="1" applyBorder="1" applyProtection="1"/>
    <xf numFmtId="0" fontId="1" fillId="2" borderId="2" xfId="0" applyFont="1" applyFill="1" applyBorder="1" applyAlignment="1" applyProtection="1">
      <alignment horizontal="left"/>
    </xf>
    <xf numFmtId="164" fontId="0" fillId="2" borderId="2" xfId="0" applyNumberFormat="1" applyFill="1" applyBorder="1" applyAlignment="1" applyProtection="1">
      <alignment horizontal="center"/>
    </xf>
    <xf numFmtId="0" fontId="1" fillId="2" borderId="1" xfId="0" applyFont="1" applyFill="1" applyBorder="1" applyAlignment="1" applyProtection="1">
      <alignment horizontal="right"/>
    </xf>
    <xf numFmtId="0" fontId="1" fillId="8" borderId="2" xfId="3" applyFont="1" applyFill="1" applyBorder="1" applyProtection="1">
      <protection locked="0"/>
    </xf>
    <xf numFmtId="0" fontId="52" fillId="0" borderId="18" xfId="3" applyFont="1" applyBorder="1" applyAlignment="1">
      <alignment horizontal="right"/>
    </xf>
    <xf numFmtId="0" fontId="52" fillId="0" borderId="6" xfId="3" applyFont="1" applyBorder="1" applyAlignment="1">
      <alignment horizontal="right"/>
    </xf>
    <xf numFmtId="0" fontId="52" fillId="0" borderId="18" xfId="3" applyFont="1" applyBorder="1"/>
    <xf numFmtId="0" fontId="52" fillId="0" borderId="6" xfId="3" applyFont="1" applyBorder="1"/>
    <xf numFmtId="0" fontId="53" fillId="0" borderId="0" xfId="3" applyFont="1" applyAlignment="1">
      <alignment horizontal="right"/>
    </xf>
    <xf numFmtId="164" fontId="53" fillId="0" borderId="0" xfId="3" applyNumberFormat="1" applyFont="1"/>
    <xf numFmtId="0" fontId="53" fillId="0" borderId="0" xfId="3" quotePrefix="1" applyFont="1"/>
    <xf numFmtId="0" fontId="53" fillId="0" borderId="0" xfId="3" applyFont="1"/>
    <xf numFmtId="164" fontId="1" fillId="8" borderId="2" xfId="3" applyNumberFormat="1" applyFill="1" applyBorder="1" applyProtection="1">
      <protection locked="0"/>
    </xf>
    <xf numFmtId="0" fontId="1" fillId="0" borderId="0" xfId="3" applyProtection="1">
      <protection locked="0"/>
    </xf>
    <xf numFmtId="0" fontId="1" fillId="0" borderId="2" xfId="3" applyBorder="1" applyProtection="1">
      <protection locked="0"/>
    </xf>
    <xf numFmtId="14" fontId="17" fillId="3" borderId="0" xfId="0" applyNumberFormat="1" applyFont="1" applyFill="1" applyAlignment="1" applyProtection="1">
      <alignment horizontal="left"/>
    </xf>
    <xf numFmtId="0" fontId="0" fillId="0" borderId="0" xfId="0" applyFill="1" applyBorder="1" applyProtection="1"/>
    <xf numFmtId="0" fontId="1" fillId="0" borderId="0" xfId="0" applyFont="1" applyFill="1" applyBorder="1" applyProtection="1"/>
    <xf numFmtId="0" fontId="0" fillId="0" borderId="0" xfId="0" applyNumberFormat="1" applyFill="1" applyBorder="1" applyAlignment="1" applyProtection="1">
      <alignment horizontal="center"/>
      <protection locked="0"/>
    </xf>
    <xf numFmtId="0" fontId="50" fillId="0" borderId="0" xfId="0" applyFont="1" applyFill="1" applyBorder="1" applyProtection="1"/>
    <xf numFmtId="0" fontId="1" fillId="0" borderId="0" xfId="0" applyFont="1" applyFill="1" applyBorder="1" applyAlignment="1" applyProtection="1">
      <alignment horizontal="left"/>
    </xf>
    <xf numFmtId="164" fontId="0" fillId="0" borderId="0" xfId="0" applyNumberFormat="1" applyFill="1" applyBorder="1" applyProtection="1"/>
    <xf numFmtId="0" fontId="0" fillId="0" borderId="0" xfId="0" applyFill="1" applyBorder="1" applyAlignment="1" applyProtection="1">
      <alignment horizontal="right"/>
    </xf>
    <xf numFmtId="11" fontId="0" fillId="2" borderId="2" xfId="0" applyNumberFormat="1" applyFill="1" applyBorder="1" applyProtection="1"/>
    <xf numFmtId="3" fontId="0" fillId="13" borderId="0" xfId="0" applyNumberFormat="1" applyFill="1" applyAlignment="1" applyProtection="1">
      <alignment horizontal="right"/>
      <protection locked="0"/>
    </xf>
    <xf numFmtId="0" fontId="55" fillId="14" borderId="13" xfId="0" applyFont="1" applyFill="1" applyBorder="1" applyAlignment="1">
      <alignment vertical="center"/>
    </xf>
    <xf numFmtId="0" fontId="57" fillId="15" borderId="3" xfId="0" applyFont="1" applyFill="1" applyBorder="1" applyAlignment="1">
      <alignment horizontal="left" vertical="center"/>
    </xf>
    <xf numFmtId="0" fontId="58" fillId="15" borderId="3" xfId="0" applyFont="1" applyFill="1" applyBorder="1" applyAlignment="1">
      <alignment vertical="center"/>
    </xf>
    <xf numFmtId="0" fontId="59" fillId="15" borderId="3" xfId="0" applyFont="1" applyFill="1" applyBorder="1"/>
    <xf numFmtId="0" fontId="59" fillId="15" borderId="14" xfId="0" applyFont="1" applyFill="1" applyBorder="1"/>
    <xf numFmtId="0" fontId="59" fillId="0" borderId="0" xfId="0" applyFont="1"/>
    <xf numFmtId="0" fontId="55" fillId="14" borderId="15" xfId="0" applyFont="1" applyFill="1" applyBorder="1" applyAlignment="1">
      <alignment vertical="top"/>
    </xf>
    <xf numFmtId="0" fontId="60" fillId="15" borderId="2" xfId="0" applyFont="1" applyFill="1" applyBorder="1" applyAlignment="1">
      <alignment vertical="top"/>
    </xf>
    <xf numFmtId="0" fontId="59" fillId="15" borderId="2" xfId="0" applyFont="1" applyFill="1" applyBorder="1" applyAlignment="1">
      <alignment vertical="top"/>
    </xf>
    <xf numFmtId="0" fontId="58" fillId="15" borderId="2" xfId="0" applyFont="1" applyFill="1" applyBorder="1" applyAlignment="1">
      <alignment vertical="top"/>
    </xf>
    <xf numFmtId="0" fontId="59" fillId="15" borderId="10" xfId="0" applyFont="1" applyFill="1" applyBorder="1" applyAlignment="1">
      <alignment vertical="top"/>
    </xf>
    <xf numFmtId="0" fontId="59" fillId="0" borderId="0" xfId="0" applyFont="1" applyAlignment="1">
      <alignment vertical="top"/>
    </xf>
    <xf numFmtId="0" fontId="55" fillId="14" borderId="15" xfId="0" applyFont="1" applyFill="1" applyBorder="1" applyAlignment="1">
      <alignment vertical="center"/>
    </xf>
    <xf numFmtId="0" fontId="61" fillId="15" borderId="0" xfId="0" applyFont="1" applyFill="1" applyBorder="1" applyAlignment="1">
      <alignment vertical="center"/>
    </xf>
    <xf numFmtId="0" fontId="62" fillId="15" borderId="0" xfId="0" applyFont="1" applyFill="1" applyBorder="1" applyAlignment="1">
      <alignment vertical="center"/>
    </xf>
    <xf numFmtId="0" fontId="63" fillId="15" borderId="0" xfId="1" applyFont="1" applyFill="1" applyBorder="1" applyAlignment="1" applyProtection="1">
      <alignment vertical="center"/>
    </xf>
    <xf numFmtId="0" fontId="62" fillId="15" borderId="13" xfId="0" applyFont="1" applyFill="1" applyBorder="1" applyAlignment="1">
      <alignment vertical="center"/>
    </xf>
    <xf numFmtId="0" fontId="64" fillId="15" borderId="0" xfId="0" applyFont="1" applyFill="1" applyBorder="1" applyAlignment="1">
      <alignment vertical="center" wrapText="1"/>
    </xf>
    <xf numFmtId="0" fontId="65" fillId="15" borderId="0" xfId="0" applyFont="1" applyFill="1" applyBorder="1" applyAlignment="1">
      <alignment vertical="center" wrapText="1"/>
    </xf>
    <xf numFmtId="0" fontId="66" fillId="15" borderId="13" xfId="0" applyFont="1" applyFill="1" applyBorder="1" applyAlignment="1">
      <alignment vertical="center" wrapText="1"/>
    </xf>
    <xf numFmtId="0" fontId="59" fillId="15" borderId="0" xfId="0" applyFont="1" applyFill="1" applyBorder="1" applyAlignment="1">
      <alignment vertical="center"/>
    </xf>
    <xf numFmtId="0" fontId="59" fillId="15" borderId="16" xfId="0" applyFont="1" applyFill="1" applyBorder="1" applyAlignment="1">
      <alignment vertical="center"/>
    </xf>
    <xf numFmtId="0" fontId="59" fillId="0" borderId="0" xfId="0" applyFont="1" applyAlignment="1">
      <alignment vertical="center"/>
    </xf>
    <xf numFmtId="0" fontId="58" fillId="14" borderId="15" xfId="0" applyFont="1" applyFill="1" applyBorder="1"/>
    <xf numFmtId="0" fontId="62" fillId="15" borderId="0" xfId="0" applyFont="1" applyFill="1" applyBorder="1"/>
    <xf numFmtId="0" fontId="62" fillId="15" borderId="15" xfId="0" applyFont="1" applyFill="1" applyBorder="1"/>
    <xf numFmtId="0" fontId="59" fillId="15" borderId="15" xfId="0" applyFont="1" applyFill="1" applyBorder="1" applyAlignment="1"/>
    <xf numFmtId="0" fontId="59" fillId="15" borderId="0" xfId="0" applyFont="1" applyFill="1" applyBorder="1"/>
    <xf numFmtId="0" fontId="59" fillId="15" borderId="16" xfId="0" applyFont="1" applyFill="1" applyBorder="1"/>
    <xf numFmtId="0" fontId="58" fillId="15" borderId="15" xfId="0" applyFont="1" applyFill="1" applyBorder="1"/>
    <xf numFmtId="0" fontId="58" fillId="14" borderId="17" xfId="0" applyFont="1" applyFill="1" applyBorder="1"/>
    <xf numFmtId="0" fontId="62" fillId="15" borderId="2" xfId="0" applyFont="1" applyFill="1" applyBorder="1"/>
    <xf numFmtId="0" fontId="62" fillId="15" borderId="17" xfId="0" applyFont="1" applyFill="1" applyBorder="1"/>
    <xf numFmtId="0" fontId="58" fillId="15" borderId="17" xfId="0" applyFont="1" applyFill="1" applyBorder="1"/>
    <xf numFmtId="0" fontId="67" fillId="0" borderId="0" xfId="0" applyFont="1" applyFill="1"/>
    <xf numFmtId="0" fontId="58" fillId="0" borderId="0" xfId="0" applyFont="1" applyFill="1"/>
    <xf numFmtId="0" fontId="68" fillId="0" borderId="0" xfId="0" applyFont="1" applyFill="1" applyAlignment="1">
      <alignment horizontal="right" vertical="center"/>
    </xf>
    <xf numFmtId="0" fontId="11" fillId="2" borderId="0" xfId="0" applyFont="1" applyFill="1" applyBorder="1" applyAlignment="1" applyProtection="1">
      <alignment horizontal="left"/>
    </xf>
    <xf numFmtId="0" fontId="18" fillId="2" borderId="0" xfId="0" applyFont="1" applyFill="1" applyBorder="1" applyAlignment="1" applyProtection="1">
      <alignment horizontal="left"/>
    </xf>
    <xf numFmtId="0" fontId="2" fillId="2" borderId="0" xfId="1" applyFill="1" applyBorder="1" applyAlignment="1" applyProtection="1">
      <alignment horizontal="left"/>
    </xf>
    <xf numFmtId="0" fontId="70" fillId="14" borderId="0" xfId="0" applyFont="1" applyFill="1" applyAlignment="1" applyProtection="1">
      <alignment horizontal="center"/>
    </xf>
    <xf numFmtId="0" fontId="71" fillId="14" borderId="0" xfId="0" applyFont="1" applyFill="1" applyAlignment="1" applyProtection="1">
      <alignment vertical="center"/>
    </xf>
    <xf numFmtId="0" fontId="71" fillId="14" borderId="0" xfId="0" applyFont="1" applyFill="1" applyAlignment="1" applyProtection="1">
      <alignment horizontal="left" vertical="center"/>
    </xf>
    <xf numFmtId="0" fontId="72" fillId="14" borderId="0" xfId="0" applyFont="1" applyFill="1" applyAlignment="1" applyProtection="1">
      <alignment vertical="center"/>
    </xf>
    <xf numFmtId="0" fontId="73" fillId="14" borderId="0" xfId="0" applyFont="1" applyFill="1" applyAlignment="1" applyProtection="1">
      <alignment vertical="center"/>
    </xf>
    <xf numFmtId="0" fontId="74" fillId="14" borderId="0" xfId="1" applyFont="1" applyFill="1" applyAlignment="1" applyProtection="1">
      <alignment vertical="center"/>
    </xf>
    <xf numFmtId="0" fontId="75" fillId="14" borderId="0" xfId="0" applyFont="1" applyFill="1" applyAlignment="1" applyProtection="1">
      <alignment vertical="center"/>
    </xf>
    <xf numFmtId="0" fontId="67" fillId="2" borderId="0" xfId="0" applyFont="1" applyFill="1" applyBorder="1" applyAlignment="1" applyProtection="1">
      <alignment horizontal="left"/>
    </xf>
    <xf numFmtId="0" fontId="58" fillId="0" borderId="0" xfId="0" applyFont="1"/>
    <xf numFmtId="0" fontId="58" fillId="0" borderId="0" xfId="0" applyFont="1" applyBorder="1" applyProtection="1"/>
    <xf numFmtId="0" fontId="58" fillId="0" borderId="0" xfId="0" applyFont="1" applyAlignment="1" applyProtection="1">
      <alignment vertical="center"/>
    </xf>
    <xf numFmtId="0" fontId="58" fillId="2" borderId="0" xfId="0" applyFont="1" applyFill="1" applyAlignment="1" applyProtection="1">
      <alignment horizontal="left"/>
    </xf>
    <xf numFmtId="0" fontId="66" fillId="2" borderId="0" xfId="0" applyFont="1" applyFill="1" applyAlignment="1" applyProtection="1">
      <alignment horizontal="left"/>
    </xf>
    <xf numFmtId="0" fontId="58" fillId="0" borderId="0" xfId="0" applyFont="1" applyFill="1" applyAlignment="1">
      <alignment horizontal="left"/>
    </xf>
    <xf numFmtId="0" fontId="58" fillId="0" borderId="0" xfId="0" applyNumberFormat="1" applyFont="1" applyFill="1" applyAlignment="1">
      <alignment horizontal="left"/>
    </xf>
    <xf numFmtId="0" fontId="59" fillId="0" borderId="0" xfId="3" applyFont="1" applyAlignment="1">
      <alignment vertical="center"/>
    </xf>
    <xf numFmtId="0" fontId="59" fillId="0" borderId="0" xfId="3" applyFont="1"/>
    <xf numFmtId="0" fontId="76" fillId="0" borderId="0" xfId="3" applyFont="1" applyAlignment="1">
      <alignment horizontal="left" vertical="top" wrapText="1"/>
    </xf>
    <xf numFmtId="0" fontId="77" fillId="0" borderId="0" xfId="3" applyFont="1"/>
    <xf numFmtId="0" fontId="1" fillId="0" borderId="0" xfId="3" quotePrefix="1" applyFont="1"/>
    <xf numFmtId="0" fontId="2" fillId="0" borderId="0" xfId="1" applyFill="1" applyAlignment="1" applyProtection="1"/>
    <xf numFmtId="164" fontId="0" fillId="2" borderId="0" xfId="0" applyNumberFormat="1" applyFill="1" applyProtection="1"/>
    <xf numFmtId="166" fontId="0" fillId="4" borderId="0" xfId="0" applyNumberFormat="1" applyFill="1" applyBorder="1" applyProtection="1"/>
    <xf numFmtId="0" fontId="10" fillId="2" borderId="1" xfId="0" applyFont="1" applyFill="1" applyBorder="1" applyAlignment="1" applyProtection="1">
      <alignment horizontal="left" vertical="center"/>
    </xf>
    <xf numFmtId="0" fontId="54" fillId="2" borderId="2" xfId="0" applyFont="1" applyFill="1" applyBorder="1" applyProtection="1"/>
    <xf numFmtId="0" fontId="78" fillId="2" borderId="2" xfId="0" applyFont="1" applyFill="1" applyBorder="1" applyProtection="1"/>
    <xf numFmtId="0" fontId="78" fillId="2" borderId="0" xfId="0" applyFont="1" applyFill="1" applyProtection="1"/>
    <xf numFmtId="0" fontId="42" fillId="2" borderId="0" xfId="0" applyFont="1" applyFill="1" applyAlignment="1" applyProtection="1">
      <alignment horizontal="left"/>
    </xf>
    <xf numFmtId="0" fontId="0" fillId="15" borderId="0" xfId="0" applyFill="1"/>
    <xf numFmtId="0" fontId="76" fillId="15" borderId="0" xfId="0" applyFont="1" applyFill="1" applyAlignment="1">
      <alignment horizontal="left" wrapText="1"/>
    </xf>
    <xf numFmtId="0" fontId="76" fillId="15" borderId="16" xfId="0" applyFont="1" applyFill="1" applyBorder="1" applyAlignment="1">
      <alignment horizontal="left" wrapText="1"/>
    </xf>
    <xf numFmtId="0" fontId="76" fillId="15" borderId="2" xfId="0" applyFont="1" applyFill="1" applyBorder="1" applyAlignment="1">
      <alignment horizontal="left" wrapText="1"/>
    </xf>
    <xf numFmtId="0" fontId="76" fillId="15" borderId="10" xfId="0" applyFont="1" applyFill="1" applyBorder="1" applyAlignment="1">
      <alignment horizontal="left" wrapText="1"/>
    </xf>
    <xf numFmtId="0" fontId="56" fillId="15" borderId="3" xfId="0" applyFont="1" applyFill="1" applyBorder="1" applyAlignment="1">
      <alignment horizontal="left" vertical="center"/>
    </xf>
    <xf numFmtId="0" fontId="65" fillId="15" borderId="3" xfId="0" applyFont="1" applyFill="1" applyBorder="1" applyAlignment="1">
      <alignment horizontal="center" vertical="center" wrapText="1"/>
    </xf>
    <xf numFmtId="0" fontId="65" fillId="15" borderId="14" xfId="0" applyFont="1" applyFill="1" applyBorder="1" applyAlignment="1">
      <alignment horizontal="center" vertical="center" wrapText="1"/>
    </xf>
    <xf numFmtId="0" fontId="61" fillId="15" borderId="0" xfId="0" applyFont="1" applyFill="1" applyBorder="1" applyAlignment="1">
      <alignment horizontal="left" wrapText="1"/>
    </xf>
    <xf numFmtId="0" fontId="62" fillId="15" borderId="0" xfId="0" applyFont="1" applyFill="1" applyBorder="1" applyAlignment="1">
      <alignment horizontal="left"/>
    </xf>
    <xf numFmtId="0" fontId="2" fillId="0" borderId="0" xfId="1" applyFill="1" applyAlignment="1" applyProtection="1">
      <alignment horizontal="left"/>
    </xf>
    <xf numFmtId="164" fontId="8" fillId="2" borderId="2" xfId="0" applyNumberFormat="1" applyFont="1" applyFill="1" applyBorder="1" applyAlignment="1" applyProtection="1">
      <alignment horizontal="center"/>
    </xf>
    <xf numFmtId="0" fontId="11" fillId="2" borderId="0" xfId="0" applyFont="1" applyFill="1" applyBorder="1" applyAlignment="1" applyProtection="1">
      <alignment horizontal="left" vertical="center" wrapText="1"/>
    </xf>
    <xf numFmtId="0" fontId="2" fillId="2" borderId="0" xfId="1" applyFill="1" applyAlignment="1" applyProtection="1">
      <alignment horizontal="left"/>
    </xf>
    <xf numFmtId="0" fontId="76" fillId="0" borderId="0" xfId="0" applyFont="1" applyAlignment="1">
      <alignment horizontal="left" wrapText="1"/>
    </xf>
    <xf numFmtId="0" fontId="76" fillId="0" borderId="2" xfId="0" applyFont="1" applyBorder="1" applyAlignment="1">
      <alignment horizontal="left" wrapText="1"/>
    </xf>
    <xf numFmtId="0" fontId="10" fillId="2" borderId="18" xfId="0" applyFont="1" applyFill="1" applyBorder="1" applyAlignment="1" applyProtection="1">
      <alignment horizontal="center"/>
    </xf>
    <xf numFmtId="0" fontId="10" fillId="2" borderId="6" xfId="0" applyFont="1" applyFill="1" applyBorder="1" applyAlignment="1" applyProtection="1">
      <alignment horizontal="center"/>
    </xf>
    <xf numFmtId="0" fontId="0" fillId="8" borderId="2" xfId="0" applyFill="1" applyBorder="1" applyAlignment="1" applyProtection="1">
      <alignment horizontal="center"/>
    </xf>
    <xf numFmtId="0" fontId="0" fillId="8" borderId="4" xfId="0" applyFill="1" applyBorder="1" applyAlignment="1" applyProtection="1">
      <alignment horizontal="center"/>
      <protection locked="0"/>
    </xf>
    <xf numFmtId="0" fontId="41" fillId="8" borderId="4" xfId="0" applyFont="1" applyFill="1" applyBorder="1" applyAlignment="1" applyProtection="1">
      <alignment horizontal="center"/>
      <protection locked="0"/>
    </xf>
    <xf numFmtId="0" fontId="41" fillId="8" borderId="6" xfId="0" applyFont="1" applyFill="1" applyBorder="1" applyAlignment="1" applyProtection="1">
      <alignment horizontal="center"/>
      <protection locked="0"/>
    </xf>
    <xf numFmtId="0" fontId="46" fillId="10" borderId="0" xfId="0" applyFont="1" applyFill="1" applyAlignment="1" applyProtection="1">
      <alignment horizontal="left"/>
      <protection locked="0"/>
    </xf>
    <xf numFmtId="0" fontId="41" fillId="8" borderId="0" xfId="0" applyFont="1" applyFill="1" applyBorder="1" applyAlignment="1" applyProtection="1">
      <alignment horizontal="center" vertical="center"/>
      <protection locked="0"/>
    </xf>
    <xf numFmtId="0" fontId="41" fillId="8" borderId="16" xfId="0" applyFont="1" applyFill="1" applyBorder="1" applyAlignment="1" applyProtection="1">
      <alignment horizontal="center" vertical="center"/>
      <protection locked="0"/>
    </xf>
    <xf numFmtId="0" fontId="41" fillId="8" borderId="2" xfId="0" applyFont="1" applyFill="1" applyBorder="1" applyAlignment="1" applyProtection="1">
      <alignment horizontal="center" vertical="center"/>
      <protection locked="0"/>
    </xf>
    <xf numFmtId="0" fontId="41" fillId="8" borderId="10" xfId="0" applyFont="1" applyFill="1" applyBorder="1" applyAlignment="1" applyProtection="1">
      <alignment horizontal="center" vertical="center"/>
      <protection locked="0"/>
    </xf>
    <xf numFmtId="0" fontId="42" fillId="8" borderId="5" xfId="0" applyFont="1" applyFill="1" applyBorder="1" applyAlignment="1" applyProtection="1">
      <alignment horizontal="center" vertical="center"/>
      <protection locked="0"/>
    </xf>
    <xf numFmtId="0" fontId="41" fillId="8" borderId="0" xfId="0" applyFont="1" applyFill="1" applyBorder="1" applyAlignment="1" applyProtection="1">
      <alignment horizontal="center"/>
      <protection locked="0"/>
    </xf>
    <xf numFmtId="0" fontId="41" fillId="8" borderId="16" xfId="0" applyFont="1" applyFill="1" applyBorder="1" applyAlignment="1" applyProtection="1">
      <alignment horizontal="center"/>
      <protection locked="0"/>
    </xf>
    <xf numFmtId="0" fontId="41" fillId="8" borderId="2" xfId="0" applyFont="1" applyFill="1" applyBorder="1" applyAlignment="1" applyProtection="1">
      <alignment horizontal="center"/>
      <protection locked="0"/>
    </xf>
    <xf numFmtId="0" fontId="41" fillId="8" borderId="10" xfId="0" applyFont="1" applyFill="1" applyBorder="1" applyAlignment="1" applyProtection="1">
      <alignment horizontal="center"/>
      <protection locked="0"/>
    </xf>
    <xf numFmtId="9" fontId="0" fillId="3" borderId="0" xfId="2" applyFont="1" applyFill="1" applyBorder="1" applyProtection="1">
      <protection locked="0"/>
    </xf>
    <xf numFmtId="0" fontId="42" fillId="0" borderId="2" xfId="0" applyFont="1" applyFill="1" applyBorder="1" applyProtection="1"/>
    <xf numFmtId="164" fontId="42" fillId="0" borderId="2" xfId="0" applyNumberFormat="1" applyFont="1" applyFill="1" applyBorder="1" applyProtection="1"/>
    <xf numFmtId="0" fontId="42" fillId="2" borderId="0" xfId="0" applyFont="1" applyFill="1" applyBorder="1" applyAlignment="1" applyProtection="1">
      <alignment horizontal="left"/>
    </xf>
    <xf numFmtId="9" fontId="0" fillId="3" borderId="0" xfId="2" applyFont="1" applyFill="1" applyProtection="1">
      <protection locked="0"/>
    </xf>
    <xf numFmtId="164" fontId="42" fillId="2" borderId="0" xfId="0" applyNumberFormat="1" applyFont="1" applyFill="1" applyAlignment="1" applyProtection="1">
      <alignment horizontal="right"/>
    </xf>
    <xf numFmtId="0" fontId="42" fillId="2" borderId="0" xfId="0" applyFont="1" applyFill="1" applyBorder="1" applyProtection="1"/>
    <xf numFmtId="164" fontId="42" fillId="2" borderId="0" xfId="0" applyNumberFormat="1" applyFont="1" applyFill="1" applyBorder="1" applyProtection="1"/>
    <xf numFmtId="9" fontId="11" fillId="3" borderId="2" xfId="2" applyFont="1" applyFill="1" applyBorder="1" applyAlignment="1" applyProtection="1">
      <alignment horizontal="center"/>
      <protection locked="0"/>
    </xf>
    <xf numFmtId="0" fontId="1" fillId="0" borderId="0" xfId="0" applyFont="1"/>
    <xf numFmtId="9" fontId="11" fillId="3" borderId="0" xfId="2" applyFont="1" applyFill="1" applyAlignment="1" applyProtection="1">
      <alignment horizontal="right"/>
      <protection locked="0"/>
    </xf>
  </cellXfs>
  <cellStyles count="4">
    <cellStyle name="Hipervínculo" xfId="1" builtinId="8"/>
    <cellStyle name="Normal" xfId="0" builtinId="0"/>
    <cellStyle name="Normal 2" xfId="3"/>
    <cellStyle name="Porcentaje" xfId="2" builtinId="5"/>
  </cellStyles>
  <dxfs count="8">
    <dxf>
      <font>
        <b/>
        <i val="0"/>
        <color rgb="FFC00000"/>
      </font>
    </dxf>
    <dxf>
      <font>
        <b/>
        <i val="0"/>
        <color rgb="FFC00000"/>
      </font>
    </dxf>
    <dxf>
      <font>
        <condense val="0"/>
        <extend val="0"/>
        <color indexed="10"/>
      </font>
    </dxf>
    <dxf>
      <font>
        <b/>
        <i val="0"/>
        <color rgb="FFFF0000"/>
      </font>
    </dxf>
    <dxf>
      <font>
        <color theme="0" tint="-0.34998626667073579"/>
      </font>
    </dxf>
    <dxf>
      <font>
        <b/>
        <i val="0"/>
        <color rgb="FFC0000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creativecommons.org/publicdomain/zero/1.0/?ref=chooser-v1" TargetMode="External"/><Relationship Id="rId2" Type="http://schemas.openxmlformats.org/officeDocument/2006/relationships/image" Target="../media/image1.png"/><Relationship Id="rId1" Type="http://schemas.openxmlformats.org/officeDocument/2006/relationships/hyperlink" Target="#CC!A1"/><Relationship Id="rId4" Type="http://schemas.openxmlformats.org/officeDocument/2006/relationships/hyperlink" Target="https://creativecommons.org/licenses/by-nc-nd/4.0/?ref=chooser-v1" TargetMode="Externa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https://creativecommons.org/publicdomain/zero/1.0/?ref=chooser-v1" TargetMode="External"/><Relationship Id="rId2" Type="http://schemas.openxmlformats.org/officeDocument/2006/relationships/image" Target="../media/image2.png"/><Relationship Id="rId1" Type="http://schemas.openxmlformats.org/officeDocument/2006/relationships/hyperlink" Target="https://creativecommons.org/licenses/by-nc-nd/4.0/" TargetMode="External"/><Relationship Id="rId4" Type="http://schemas.openxmlformats.org/officeDocument/2006/relationships/hyperlink" Target="https://creativecommons.org/licenses/by-nc-nd/4.0/?ref=chooser-v1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104896</xdr:colOff>
      <xdr:row>2</xdr:row>
      <xdr:rowOff>53603</xdr:rowOff>
    </xdr:from>
    <xdr:to>
      <xdr:col>14</xdr:col>
      <xdr:colOff>57150</xdr:colOff>
      <xdr:row>3</xdr:row>
      <xdr:rowOff>114300</xdr:rowOff>
    </xdr:to>
    <xdr:pic>
      <xdr:nvPicPr>
        <xdr:cNvPr id="15" name="Imagen 14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629771" y="644153"/>
          <a:ext cx="914279" cy="346447"/>
        </a:xfrm>
        <a:prstGeom prst="rect">
          <a:avLst/>
        </a:prstGeom>
      </xdr:spPr>
    </xdr:pic>
    <xdr:clientData/>
  </xdr:twoCellAnchor>
  <xdr:twoCellAnchor editAs="oneCell">
    <xdr:from>
      <xdr:col>13</xdr:col>
      <xdr:colOff>26056</xdr:colOff>
      <xdr:row>4</xdr:row>
      <xdr:rowOff>19010</xdr:rowOff>
    </xdr:from>
    <xdr:to>
      <xdr:col>13</xdr:col>
      <xdr:colOff>183494</xdr:colOff>
      <xdr:row>5</xdr:row>
      <xdr:rowOff>38139</xdr:rowOff>
    </xdr:to>
    <xdr:sp macro="" textlink="">
      <xdr:nvSpPr>
        <xdr:cNvPr id="16" name="AutoShape 5" descr="https://chooser-beta.creativecommons.org/img/cc-logo.f0ab4ebe.svg">
          <a:hlinkClick xmlns:r="http://schemas.openxmlformats.org/officeDocument/2006/relationships" r:id="rId3" tgtFrame="_blank"/>
        </xdr:cNvPr>
        <xdr:cNvSpPr>
          <a:spLocks noChangeAspect="1" noChangeArrowheads="1"/>
        </xdr:cNvSpPr>
      </xdr:nvSpPr>
      <xdr:spPr bwMode="auto">
        <a:xfrm>
          <a:off x="7388881" y="1038185"/>
          <a:ext cx="157438" cy="18105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200025</xdr:colOff>
      <xdr:row>4</xdr:row>
      <xdr:rowOff>0</xdr:rowOff>
    </xdr:from>
    <xdr:to>
      <xdr:col>13</xdr:col>
      <xdr:colOff>390525</xdr:colOff>
      <xdr:row>5</xdr:row>
      <xdr:rowOff>57150</xdr:rowOff>
    </xdr:to>
    <xdr:sp macro="" textlink="">
      <xdr:nvSpPr>
        <xdr:cNvPr id="17" name="AutoShape 6" descr="https://chooser-beta.creativecommons.org/img/cc-zero.f5450231.svg">
          <a:hlinkClick xmlns:r="http://schemas.openxmlformats.org/officeDocument/2006/relationships" r:id="rId3" tgtFrame="_blank"/>
        </xdr:cNvPr>
        <xdr:cNvSpPr>
          <a:spLocks noChangeAspect="1" noChangeArrowheads="1"/>
        </xdr:cNvSpPr>
      </xdr:nvSpPr>
      <xdr:spPr bwMode="auto">
        <a:xfrm>
          <a:off x="7562850" y="1019175"/>
          <a:ext cx="190500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400050</xdr:colOff>
      <xdr:row>4</xdr:row>
      <xdr:rowOff>0</xdr:rowOff>
    </xdr:from>
    <xdr:to>
      <xdr:col>13</xdr:col>
      <xdr:colOff>590550</xdr:colOff>
      <xdr:row>5</xdr:row>
      <xdr:rowOff>57150</xdr:rowOff>
    </xdr:to>
    <xdr:sp macro="" textlink="">
      <xdr:nvSpPr>
        <xdr:cNvPr id="18" name="AutoShape 3" descr="https://chooser-beta.creativecommons.org/img/cc-nc.218f18fc.svg">
          <a:hlinkClick xmlns:r="http://schemas.openxmlformats.org/officeDocument/2006/relationships" r:id="rId4" tgtFrame="_blank"/>
        </xdr:cNvPr>
        <xdr:cNvSpPr>
          <a:spLocks noChangeAspect="1" noChangeArrowheads="1"/>
        </xdr:cNvSpPr>
      </xdr:nvSpPr>
      <xdr:spPr bwMode="auto">
        <a:xfrm>
          <a:off x="7762875" y="1019175"/>
          <a:ext cx="190500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12</xdr:col>
      <xdr:colOff>600075</xdr:colOff>
      <xdr:row>4</xdr:row>
      <xdr:rowOff>0</xdr:rowOff>
    </xdr:from>
    <xdr:to>
      <xdr:col>13</xdr:col>
      <xdr:colOff>190500</xdr:colOff>
      <xdr:row>5</xdr:row>
      <xdr:rowOff>57150</xdr:rowOff>
    </xdr:to>
    <xdr:sp macro="" textlink="">
      <xdr:nvSpPr>
        <xdr:cNvPr id="19" name="AutoShape 4" descr="https://chooser-beta.creativecommons.org/img/cc-nd.de89fdeb.svg">
          <a:hlinkClick xmlns:r="http://schemas.openxmlformats.org/officeDocument/2006/relationships" r:id="rId4" tgtFrame="_blank"/>
        </xdr:cNvPr>
        <xdr:cNvSpPr>
          <a:spLocks noChangeAspect="1" noChangeArrowheads="1"/>
        </xdr:cNvSpPr>
      </xdr:nvSpPr>
      <xdr:spPr bwMode="auto">
        <a:xfrm>
          <a:off x="7362825" y="1019175"/>
          <a:ext cx="190500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190500</xdr:colOff>
      <xdr:row>5</xdr:row>
      <xdr:rowOff>28575</xdr:rowOff>
    </xdr:to>
    <xdr:sp macro="" textlink="">
      <xdr:nvSpPr>
        <xdr:cNvPr id="20" name="AutoShape 5" descr="https://chooser-beta.creativecommons.org/img/cc-logo.f0ab4ebe.svg">
          <a:hlinkClick xmlns:r="http://schemas.openxmlformats.org/officeDocument/2006/relationships" r:id="rId4" tgtFrame="_blank"/>
        </xdr:cNvPr>
        <xdr:cNvSpPr>
          <a:spLocks noChangeAspect="1" noChangeArrowheads="1"/>
        </xdr:cNvSpPr>
      </xdr:nvSpPr>
      <xdr:spPr bwMode="auto">
        <a:xfrm>
          <a:off x="7362825" y="1019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200025</xdr:colOff>
      <xdr:row>4</xdr:row>
      <xdr:rowOff>0</xdr:rowOff>
    </xdr:from>
    <xdr:to>
      <xdr:col>13</xdr:col>
      <xdr:colOff>390525</xdr:colOff>
      <xdr:row>5</xdr:row>
      <xdr:rowOff>28575</xdr:rowOff>
    </xdr:to>
    <xdr:sp macro="" textlink="">
      <xdr:nvSpPr>
        <xdr:cNvPr id="21" name="AutoShape 6" descr="https://chooser-beta.creativecommons.org/img/cc-by.21b728bb.svg">
          <a:hlinkClick xmlns:r="http://schemas.openxmlformats.org/officeDocument/2006/relationships" r:id="rId4" tgtFrame="_blank"/>
        </xdr:cNvPr>
        <xdr:cNvSpPr>
          <a:spLocks noChangeAspect="1" noChangeArrowheads="1"/>
        </xdr:cNvSpPr>
      </xdr:nvSpPr>
      <xdr:spPr bwMode="auto">
        <a:xfrm>
          <a:off x="7562850" y="1019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400050</xdr:colOff>
      <xdr:row>4</xdr:row>
      <xdr:rowOff>0</xdr:rowOff>
    </xdr:from>
    <xdr:to>
      <xdr:col>13</xdr:col>
      <xdr:colOff>590550</xdr:colOff>
      <xdr:row>5</xdr:row>
      <xdr:rowOff>28575</xdr:rowOff>
    </xdr:to>
    <xdr:sp macro="" textlink="">
      <xdr:nvSpPr>
        <xdr:cNvPr id="22" name="AutoShape 7" descr="https://chooser-beta.creativecommons.org/img/cc-nc.218f18fc.svg">
          <a:hlinkClick xmlns:r="http://schemas.openxmlformats.org/officeDocument/2006/relationships" r:id="rId4" tgtFrame="_blank"/>
        </xdr:cNvPr>
        <xdr:cNvSpPr>
          <a:spLocks noChangeAspect="1" noChangeArrowheads="1"/>
        </xdr:cNvSpPr>
      </xdr:nvSpPr>
      <xdr:spPr bwMode="auto">
        <a:xfrm>
          <a:off x="7762875" y="1019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600075</xdr:colOff>
      <xdr:row>4</xdr:row>
      <xdr:rowOff>0</xdr:rowOff>
    </xdr:from>
    <xdr:to>
      <xdr:col>14</xdr:col>
      <xdr:colOff>28575</xdr:colOff>
      <xdr:row>5</xdr:row>
      <xdr:rowOff>28575</xdr:rowOff>
    </xdr:to>
    <xdr:sp macro="" textlink="">
      <xdr:nvSpPr>
        <xdr:cNvPr id="23" name="AutoShape 8" descr="https://chooser-beta.creativecommons.org/img/cc-nd.de89fdeb.svg">
          <a:hlinkClick xmlns:r="http://schemas.openxmlformats.org/officeDocument/2006/relationships" r:id="rId4" tgtFrame="_blank"/>
        </xdr:cNvPr>
        <xdr:cNvSpPr>
          <a:spLocks noChangeAspect="1" noChangeArrowheads="1"/>
        </xdr:cNvSpPr>
      </xdr:nvSpPr>
      <xdr:spPr bwMode="auto">
        <a:xfrm>
          <a:off x="7962900" y="1019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190500</xdr:colOff>
      <xdr:row>5</xdr:row>
      <xdr:rowOff>28575</xdr:rowOff>
    </xdr:to>
    <xdr:sp macro="" textlink="">
      <xdr:nvSpPr>
        <xdr:cNvPr id="24" name="AutoShape 9" descr="https://chooser-beta.creativecommons.org/img/cc-logo.f0ab4ebe.svg">
          <a:hlinkClick xmlns:r="http://schemas.openxmlformats.org/officeDocument/2006/relationships" r:id="rId4" tgtFrame="_blank"/>
        </xdr:cNvPr>
        <xdr:cNvSpPr>
          <a:spLocks noChangeAspect="1" noChangeArrowheads="1"/>
        </xdr:cNvSpPr>
      </xdr:nvSpPr>
      <xdr:spPr bwMode="auto">
        <a:xfrm>
          <a:off x="7362825" y="1019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200025</xdr:colOff>
      <xdr:row>4</xdr:row>
      <xdr:rowOff>0</xdr:rowOff>
    </xdr:from>
    <xdr:to>
      <xdr:col>13</xdr:col>
      <xdr:colOff>390525</xdr:colOff>
      <xdr:row>5</xdr:row>
      <xdr:rowOff>28575</xdr:rowOff>
    </xdr:to>
    <xdr:sp macro="" textlink="">
      <xdr:nvSpPr>
        <xdr:cNvPr id="25" name="AutoShape 10" descr="https://chooser-beta.creativecommons.org/img/cc-by.21b728bb.svg">
          <a:hlinkClick xmlns:r="http://schemas.openxmlformats.org/officeDocument/2006/relationships" r:id="rId4" tgtFrame="_blank"/>
        </xdr:cNvPr>
        <xdr:cNvSpPr>
          <a:spLocks noChangeAspect="1" noChangeArrowheads="1"/>
        </xdr:cNvSpPr>
      </xdr:nvSpPr>
      <xdr:spPr bwMode="auto">
        <a:xfrm>
          <a:off x="7562850" y="1019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400050</xdr:colOff>
      <xdr:row>4</xdr:row>
      <xdr:rowOff>0</xdr:rowOff>
    </xdr:from>
    <xdr:to>
      <xdr:col>13</xdr:col>
      <xdr:colOff>590550</xdr:colOff>
      <xdr:row>5</xdr:row>
      <xdr:rowOff>28575</xdr:rowOff>
    </xdr:to>
    <xdr:sp macro="" textlink="">
      <xdr:nvSpPr>
        <xdr:cNvPr id="26" name="AutoShape 11" descr="https://chooser-beta.creativecommons.org/img/cc-nc.218f18fc.svg">
          <a:hlinkClick xmlns:r="http://schemas.openxmlformats.org/officeDocument/2006/relationships" r:id="rId4" tgtFrame="_blank"/>
        </xdr:cNvPr>
        <xdr:cNvSpPr>
          <a:spLocks noChangeAspect="1" noChangeArrowheads="1"/>
        </xdr:cNvSpPr>
      </xdr:nvSpPr>
      <xdr:spPr bwMode="auto">
        <a:xfrm>
          <a:off x="7762875" y="1019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600075</xdr:colOff>
      <xdr:row>4</xdr:row>
      <xdr:rowOff>0</xdr:rowOff>
    </xdr:from>
    <xdr:to>
      <xdr:col>14</xdr:col>
      <xdr:colOff>28575</xdr:colOff>
      <xdr:row>5</xdr:row>
      <xdr:rowOff>28575</xdr:rowOff>
    </xdr:to>
    <xdr:sp macro="" textlink="">
      <xdr:nvSpPr>
        <xdr:cNvPr id="27" name="AutoShape 12" descr="https://chooser-beta.creativecommons.org/img/cc-nd.de89fdeb.svg">
          <a:hlinkClick xmlns:r="http://schemas.openxmlformats.org/officeDocument/2006/relationships" r:id="rId4" tgtFrame="_blank"/>
        </xdr:cNvPr>
        <xdr:cNvSpPr>
          <a:spLocks noChangeAspect="1" noChangeArrowheads="1"/>
        </xdr:cNvSpPr>
      </xdr:nvSpPr>
      <xdr:spPr bwMode="auto">
        <a:xfrm>
          <a:off x="7962900" y="10191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190500</xdr:colOff>
      <xdr:row>4</xdr:row>
      <xdr:rowOff>190500</xdr:rowOff>
    </xdr:to>
    <xdr:sp macro="" textlink="">
      <xdr:nvSpPr>
        <xdr:cNvPr id="2049" name="AutoShape 1" descr="https://chooser-beta.creativecommons.org/img/cc-logo.f0ab4ebe.svg">
          <a:hlinkClick xmlns:r="http://schemas.openxmlformats.org/officeDocument/2006/relationships" r:id="rId4" tgtFrame="_blank"/>
        </xdr:cNvPr>
        <xdr:cNvSpPr>
          <a:spLocks noChangeAspect="1" noChangeArrowheads="1"/>
        </xdr:cNvSpPr>
      </xdr:nvSpPr>
      <xdr:spPr bwMode="auto">
        <a:xfrm>
          <a:off x="8601075" y="59055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200025</xdr:colOff>
      <xdr:row>4</xdr:row>
      <xdr:rowOff>0</xdr:rowOff>
    </xdr:from>
    <xdr:to>
      <xdr:col>13</xdr:col>
      <xdr:colOff>390525</xdr:colOff>
      <xdr:row>4</xdr:row>
      <xdr:rowOff>190500</xdr:rowOff>
    </xdr:to>
    <xdr:sp macro="" textlink="">
      <xdr:nvSpPr>
        <xdr:cNvPr id="2050" name="AutoShape 2" descr="https://chooser-beta.creativecommons.org/img/cc-by.21b728bb.svg">
          <a:hlinkClick xmlns:r="http://schemas.openxmlformats.org/officeDocument/2006/relationships" r:id="rId4" tgtFrame="_blank"/>
        </xdr:cNvPr>
        <xdr:cNvSpPr>
          <a:spLocks noChangeAspect="1" noChangeArrowheads="1"/>
        </xdr:cNvSpPr>
      </xdr:nvSpPr>
      <xdr:spPr bwMode="auto">
        <a:xfrm>
          <a:off x="8801100" y="59055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400050</xdr:colOff>
      <xdr:row>4</xdr:row>
      <xdr:rowOff>0</xdr:rowOff>
    </xdr:from>
    <xdr:to>
      <xdr:col>13</xdr:col>
      <xdr:colOff>590550</xdr:colOff>
      <xdr:row>4</xdr:row>
      <xdr:rowOff>190500</xdr:rowOff>
    </xdr:to>
    <xdr:sp macro="" textlink="">
      <xdr:nvSpPr>
        <xdr:cNvPr id="2051" name="AutoShape 3" descr="https://chooser-beta.creativecommons.org/img/cc-nc.218f18fc.svg">
          <a:hlinkClick xmlns:r="http://schemas.openxmlformats.org/officeDocument/2006/relationships" r:id="rId4" tgtFrame="_blank"/>
        </xdr:cNvPr>
        <xdr:cNvSpPr>
          <a:spLocks noChangeAspect="1" noChangeArrowheads="1"/>
        </xdr:cNvSpPr>
      </xdr:nvSpPr>
      <xdr:spPr bwMode="auto">
        <a:xfrm>
          <a:off x="9001125" y="59055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600075</xdr:colOff>
      <xdr:row>4</xdr:row>
      <xdr:rowOff>0</xdr:rowOff>
    </xdr:from>
    <xdr:to>
      <xdr:col>14</xdr:col>
      <xdr:colOff>28575</xdr:colOff>
      <xdr:row>4</xdr:row>
      <xdr:rowOff>190500</xdr:rowOff>
    </xdr:to>
    <xdr:sp macro="" textlink="">
      <xdr:nvSpPr>
        <xdr:cNvPr id="2052" name="AutoShape 4" descr="https://chooser-beta.creativecommons.org/img/cc-nd.de89fdeb.svg">
          <a:hlinkClick xmlns:r="http://schemas.openxmlformats.org/officeDocument/2006/relationships" r:id="rId4" tgtFrame="_blank"/>
        </xdr:cNvPr>
        <xdr:cNvSpPr>
          <a:spLocks noChangeAspect="1" noChangeArrowheads="1"/>
        </xdr:cNvSpPr>
      </xdr:nvSpPr>
      <xdr:spPr bwMode="auto">
        <a:xfrm>
          <a:off x="9201150" y="59055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2</xdr:row>
      <xdr:rowOff>142875</xdr:rowOff>
    </xdr:from>
    <xdr:to>
      <xdr:col>4</xdr:col>
      <xdr:colOff>133238</xdr:colOff>
      <xdr:row>4</xdr:row>
      <xdr:rowOff>142835</xdr:rowOff>
    </xdr:to>
    <xdr:pic>
      <xdr:nvPicPr>
        <xdr:cNvPr id="2" name="Imagen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7800" y="466725"/>
          <a:ext cx="895238" cy="323810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190500</xdr:colOff>
      <xdr:row>6</xdr:row>
      <xdr:rowOff>28575</xdr:rowOff>
    </xdr:to>
    <xdr:sp macro="" textlink="">
      <xdr:nvSpPr>
        <xdr:cNvPr id="3" name="AutoShape 5" descr="https://chooser-beta.creativecommons.org/img/cc-logo.f0ab4ebe.svg">
          <a:hlinkClick xmlns:r="http://schemas.openxmlformats.org/officeDocument/2006/relationships" r:id="rId3" tgtFrame="_blank"/>
        </xdr:cNvPr>
        <xdr:cNvSpPr>
          <a:spLocks noChangeAspect="1" noChangeArrowheads="1"/>
        </xdr:cNvSpPr>
      </xdr:nvSpPr>
      <xdr:spPr bwMode="auto">
        <a:xfrm>
          <a:off x="1447800" y="80962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200025</xdr:colOff>
      <xdr:row>5</xdr:row>
      <xdr:rowOff>0</xdr:rowOff>
    </xdr:from>
    <xdr:to>
      <xdr:col>3</xdr:col>
      <xdr:colOff>390525</xdr:colOff>
      <xdr:row>6</xdr:row>
      <xdr:rowOff>28575</xdr:rowOff>
    </xdr:to>
    <xdr:sp macro="" textlink="">
      <xdr:nvSpPr>
        <xdr:cNvPr id="4" name="AutoShape 6" descr="https://chooser-beta.creativecommons.org/img/cc-zero.f5450231.svg">
          <a:hlinkClick xmlns:r="http://schemas.openxmlformats.org/officeDocument/2006/relationships" r:id="rId3" tgtFrame="_blank"/>
        </xdr:cNvPr>
        <xdr:cNvSpPr>
          <a:spLocks noChangeAspect="1" noChangeArrowheads="1"/>
        </xdr:cNvSpPr>
      </xdr:nvSpPr>
      <xdr:spPr bwMode="auto">
        <a:xfrm>
          <a:off x="1647825" y="80962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190500</xdr:colOff>
      <xdr:row>6</xdr:row>
      <xdr:rowOff>28575</xdr:rowOff>
    </xdr:to>
    <xdr:sp macro="" textlink="">
      <xdr:nvSpPr>
        <xdr:cNvPr id="5" name="AutoShape 1" descr="https://chooser-beta.creativecommons.org/img/cc-logo.f0ab4ebe.svg">
          <a:hlinkClick xmlns:r="http://schemas.openxmlformats.org/officeDocument/2006/relationships" r:id="rId4" tgtFrame="_blank"/>
        </xdr:cNvPr>
        <xdr:cNvSpPr>
          <a:spLocks noChangeAspect="1" noChangeArrowheads="1"/>
        </xdr:cNvSpPr>
      </xdr:nvSpPr>
      <xdr:spPr bwMode="auto">
        <a:xfrm>
          <a:off x="1447800" y="80962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200025</xdr:colOff>
      <xdr:row>5</xdr:row>
      <xdr:rowOff>0</xdr:rowOff>
    </xdr:from>
    <xdr:to>
      <xdr:col>3</xdr:col>
      <xdr:colOff>390525</xdr:colOff>
      <xdr:row>6</xdr:row>
      <xdr:rowOff>28575</xdr:rowOff>
    </xdr:to>
    <xdr:sp macro="" textlink="">
      <xdr:nvSpPr>
        <xdr:cNvPr id="6" name="AutoShape 2" descr="https://chooser-beta.creativecommons.org/img/cc-by.21b728bb.svg">
          <a:hlinkClick xmlns:r="http://schemas.openxmlformats.org/officeDocument/2006/relationships" r:id="rId4" tgtFrame="_blank"/>
        </xdr:cNvPr>
        <xdr:cNvSpPr>
          <a:spLocks noChangeAspect="1" noChangeArrowheads="1"/>
        </xdr:cNvSpPr>
      </xdr:nvSpPr>
      <xdr:spPr bwMode="auto">
        <a:xfrm>
          <a:off x="1647825" y="80962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400050</xdr:colOff>
      <xdr:row>5</xdr:row>
      <xdr:rowOff>0</xdr:rowOff>
    </xdr:from>
    <xdr:to>
      <xdr:col>3</xdr:col>
      <xdr:colOff>590550</xdr:colOff>
      <xdr:row>6</xdr:row>
      <xdr:rowOff>28575</xdr:rowOff>
    </xdr:to>
    <xdr:sp macro="" textlink="">
      <xdr:nvSpPr>
        <xdr:cNvPr id="7" name="AutoShape 3" descr="https://chooser-beta.creativecommons.org/img/cc-nc.218f18fc.svg">
          <a:hlinkClick xmlns:r="http://schemas.openxmlformats.org/officeDocument/2006/relationships" r:id="rId4" tgtFrame="_blank"/>
        </xdr:cNvPr>
        <xdr:cNvSpPr>
          <a:spLocks noChangeAspect="1" noChangeArrowheads="1"/>
        </xdr:cNvSpPr>
      </xdr:nvSpPr>
      <xdr:spPr bwMode="auto">
        <a:xfrm>
          <a:off x="1847850" y="80962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600075</xdr:colOff>
      <xdr:row>5</xdr:row>
      <xdr:rowOff>0</xdr:rowOff>
    </xdr:from>
    <xdr:to>
      <xdr:col>4</xdr:col>
      <xdr:colOff>28575</xdr:colOff>
      <xdr:row>6</xdr:row>
      <xdr:rowOff>28575</xdr:rowOff>
    </xdr:to>
    <xdr:sp macro="" textlink="">
      <xdr:nvSpPr>
        <xdr:cNvPr id="8" name="AutoShape 4" descr="https://chooser-beta.creativecommons.org/img/cc-nd.de89fdeb.svg">
          <a:hlinkClick xmlns:r="http://schemas.openxmlformats.org/officeDocument/2006/relationships" r:id="rId4" tgtFrame="_blank"/>
        </xdr:cNvPr>
        <xdr:cNvSpPr>
          <a:spLocks noChangeAspect="1" noChangeArrowheads="1"/>
        </xdr:cNvSpPr>
      </xdr:nvSpPr>
      <xdr:spPr bwMode="auto">
        <a:xfrm>
          <a:off x="2047875" y="80962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190500</xdr:colOff>
      <xdr:row>6</xdr:row>
      <xdr:rowOff>57150</xdr:rowOff>
    </xdr:to>
    <xdr:sp macro="" textlink="">
      <xdr:nvSpPr>
        <xdr:cNvPr id="9" name="AutoShape 5" descr="https://chooser-beta.creativecommons.org/img/cc-logo.f0ab4ebe.svg">
          <a:hlinkClick xmlns:r="http://schemas.openxmlformats.org/officeDocument/2006/relationships" r:id="rId3" tgtFrame="_blank"/>
        </xdr:cNvPr>
        <xdr:cNvSpPr>
          <a:spLocks noChangeAspect="1" noChangeArrowheads="1"/>
        </xdr:cNvSpPr>
      </xdr:nvSpPr>
      <xdr:spPr bwMode="auto">
        <a:xfrm>
          <a:off x="1447800" y="809625"/>
          <a:ext cx="190500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200025</xdr:colOff>
      <xdr:row>5</xdr:row>
      <xdr:rowOff>0</xdr:rowOff>
    </xdr:from>
    <xdr:to>
      <xdr:col>3</xdr:col>
      <xdr:colOff>390525</xdr:colOff>
      <xdr:row>6</xdr:row>
      <xdr:rowOff>57150</xdr:rowOff>
    </xdr:to>
    <xdr:sp macro="" textlink="">
      <xdr:nvSpPr>
        <xdr:cNvPr id="10" name="AutoShape 6" descr="https://chooser-beta.creativecommons.org/img/cc-zero.f5450231.svg">
          <a:hlinkClick xmlns:r="http://schemas.openxmlformats.org/officeDocument/2006/relationships" r:id="rId3" tgtFrame="_blank"/>
        </xdr:cNvPr>
        <xdr:cNvSpPr>
          <a:spLocks noChangeAspect="1" noChangeArrowheads="1"/>
        </xdr:cNvSpPr>
      </xdr:nvSpPr>
      <xdr:spPr bwMode="auto">
        <a:xfrm>
          <a:off x="1647825" y="809625"/>
          <a:ext cx="190500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190500</xdr:colOff>
      <xdr:row>6</xdr:row>
      <xdr:rowOff>57150</xdr:rowOff>
    </xdr:to>
    <xdr:sp macro="" textlink="">
      <xdr:nvSpPr>
        <xdr:cNvPr id="11" name="AutoShape 1" descr="https://chooser-beta.creativecommons.org/img/cc-logo.f0ab4ebe.svg">
          <a:hlinkClick xmlns:r="http://schemas.openxmlformats.org/officeDocument/2006/relationships" r:id="rId4" tgtFrame="_blank"/>
        </xdr:cNvPr>
        <xdr:cNvSpPr>
          <a:spLocks noChangeAspect="1" noChangeArrowheads="1"/>
        </xdr:cNvSpPr>
      </xdr:nvSpPr>
      <xdr:spPr bwMode="auto">
        <a:xfrm>
          <a:off x="1447800" y="809625"/>
          <a:ext cx="190500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200025</xdr:colOff>
      <xdr:row>5</xdr:row>
      <xdr:rowOff>0</xdr:rowOff>
    </xdr:from>
    <xdr:to>
      <xdr:col>3</xdr:col>
      <xdr:colOff>390525</xdr:colOff>
      <xdr:row>6</xdr:row>
      <xdr:rowOff>57150</xdr:rowOff>
    </xdr:to>
    <xdr:sp macro="" textlink="">
      <xdr:nvSpPr>
        <xdr:cNvPr id="12" name="AutoShape 2" descr="https://chooser-beta.creativecommons.org/img/cc-by.21b728bb.svg">
          <a:hlinkClick xmlns:r="http://schemas.openxmlformats.org/officeDocument/2006/relationships" r:id="rId4" tgtFrame="_blank"/>
        </xdr:cNvPr>
        <xdr:cNvSpPr>
          <a:spLocks noChangeAspect="1" noChangeArrowheads="1"/>
        </xdr:cNvSpPr>
      </xdr:nvSpPr>
      <xdr:spPr bwMode="auto">
        <a:xfrm>
          <a:off x="1647825" y="809625"/>
          <a:ext cx="190500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400050</xdr:colOff>
      <xdr:row>5</xdr:row>
      <xdr:rowOff>0</xdr:rowOff>
    </xdr:from>
    <xdr:to>
      <xdr:col>3</xdr:col>
      <xdr:colOff>590550</xdr:colOff>
      <xdr:row>6</xdr:row>
      <xdr:rowOff>57150</xdr:rowOff>
    </xdr:to>
    <xdr:sp macro="" textlink="">
      <xdr:nvSpPr>
        <xdr:cNvPr id="13" name="AutoShape 3" descr="https://chooser-beta.creativecommons.org/img/cc-nc.218f18fc.svg">
          <a:hlinkClick xmlns:r="http://schemas.openxmlformats.org/officeDocument/2006/relationships" r:id="rId4" tgtFrame="_blank"/>
        </xdr:cNvPr>
        <xdr:cNvSpPr>
          <a:spLocks noChangeAspect="1" noChangeArrowheads="1"/>
        </xdr:cNvSpPr>
      </xdr:nvSpPr>
      <xdr:spPr bwMode="auto">
        <a:xfrm>
          <a:off x="1847850" y="809625"/>
          <a:ext cx="190500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600075</xdr:colOff>
      <xdr:row>5</xdr:row>
      <xdr:rowOff>0</xdr:rowOff>
    </xdr:from>
    <xdr:to>
      <xdr:col>4</xdr:col>
      <xdr:colOff>28575</xdr:colOff>
      <xdr:row>6</xdr:row>
      <xdr:rowOff>57150</xdr:rowOff>
    </xdr:to>
    <xdr:sp macro="" textlink="">
      <xdr:nvSpPr>
        <xdr:cNvPr id="14" name="AutoShape 4" descr="https://chooser-beta.creativecommons.org/img/cc-nd.de89fdeb.svg">
          <a:hlinkClick xmlns:r="http://schemas.openxmlformats.org/officeDocument/2006/relationships" r:id="rId4" tgtFrame="_blank"/>
        </xdr:cNvPr>
        <xdr:cNvSpPr>
          <a:spLocks noChangeAspect="1" noChangeArrowheads="1"/>
        </xdr:cNvSpPr>
      </xdr:nvSpPr>
      <xdr:spPr bwMode="auto">
        <a:xfrm>
          <a:off x="2047875" y="809625"/>
          <a:ext cx="190500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190500</xdr:colOff>
      <xdr:row>6</xdr:row>
      <xdr:rowOff>57150</xdr:rowOff>
    </xdr:to>
    <xdr:sp macro="" textlink="">
      <xdr:nvSpPr>
        <xdr:cNvPr id="15" name="AutoShape 5" descr="https://chooser-beta.creativecommons.org/img/cc-logo.f0ab4ebe.svg">
          <a:hlinkClick xmlns:r="http://schemas.openxmlformats.org/officeDocument/2006/relationships" r:id="rId3" tgtFrame="_blank"/>
        </xdr:cNvPr>
        <xdr:cNvSpPr>
          <a:spLocks noChangeAspect="1" noChangeArrowheads="1"/>
        </xdr:cNvSpPr>
      </xdr:nvSpPr>
      <xdr:spPr bwMode="auto">
        <a:xfrm>
          <a:off x="1447800" y="809625"/>
          <a:ext cx="190500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200025</xdr:colOff>
      <xdr:row>5</xdr:row>
      <xdr:rowOff>0</xdr:rowOff>
    </xdr:from>
    <xdr:to>
      <xdr:col>3</xdr:col>
      <xdr:colOff>390525</xdr:colOff>
      <xdr:row>6</xdr:row>
      <xdr:rowOff>57150</xdr:rowOff>
    </xdr:to>
    <xdr:sp macro="" textlink="">
      <xdr:nvSpPr>
        <xdr:cNvPr id="16" name="AutoShape 6" descr="https://chooser-beta.creativecommons.org/img/cc-zero.f5450231.svg">
          <a:hlinkClick xmlns:r="http://schemas.openxmlformats.org/officeDocument/2006/relationships" r:id="rId3" tgtFrame="_blank"/>
        </xdr:cNvPr>
        <xdr:cNvSpPr>
          <a:spLocks noChangeAspect="1" noChangeArrowheads="1"/>
        </xdr:cNvSpPr>
      </xdr:nvSpPr>
      <xdr:spPr bwMode="auto">
        <a:xfrm>
          <a:off x="1647825" y="809625"/>
          <a:ext cx="190500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190500</xdr:colOff>
      <xdr:row>6</xdr:row>
      <xdr:rowOff>57150</xdr:rowOff>
    </xdr:to>
    <xdr:sp macro="" textlink="">
      <xdr:nvSpPr>
        <xdr:cNvPr id="17" name="AutoShape 1" descr="https://chooser-beta.creativecommons.org/img/cc-logo.f0ab4ebe.svg">
          <a:hlinkClick xmlns:r="http://schemas.openxmlformats.org/officeDocument/2006/relationships" r:id="rId4" tgtFrame="_blank"/>
        </xdr:cNvPr>
        <xdr:cNvSpPr>
          <a:spLocks noChangeAspect="1" noChangeArrowheads="1"/>
        </xdr:cNvSpPr>
      </xdr:nvSpPr>
      <xdr:spPr bwMode="auto">
        <a:xfrm>
          <a:off x="1447800" y="809625"/>
          <a:ext cx="190500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200025</xdr:colOff>
      <xdr:row>5</xdr:row>
      <xdr:rowOff>0</xdr:rowOff>
    </xdr:from>
    <xdr:to>
      <xdr:col>3</xdr:col>
      <xdr:colOff>390525</xdr:colOff>
      <xdr:row>6</xdr:row>
      <xdr:rowOff>57150</xdr:rowOff>
    </xdr:to>
    <xdr:sp macro="" textlink="">
      <xdr:nvSpPr>
        <xdr:cNvPr id="18" name="AutoShape 2" descr="https://chooser-beta.creativecommons.org/img/cc-by.21b728bb.svg">
          <a:hlinkClick xmlns:r="http://schemas.openxmlformats.org/officeDocument/2006/relationships" r:id="rId4" tgtFrame="_blank"/>
        </xdr:cNvPr>
        <xdr:cNvSpPr>
          <a:spLocks noChangeAspect="1" noChangeArrowheads="1"/>
        </xdr:cNvSpPr>
      </xdr:nvSpPr>
      <xdr:spPr bwMode="auto">
        <a:xfrm>
          <a:off x="1647825" y="809625"/>
          <a:ext cx="190500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400050</xdr:colOff>
      <xdr:row>5</xdr:row>
      <xdr:rowOff>0</xdr:rowOff>
    </xdr:from>
    <xdr:to>
      <xdr:col>3</xdr:col>
      <xdr:colOff>590550</xdr:colOff>
      <xdr:row>6</xdr:row>
      <xdr:rowOff>57150</xdr:rowOff>
    </xdr:to>
    <xdr:sp macro="" textlink="">
      <xdr:nvSpPr>
        <xdr:cNvPr id="19" name="AutoShape 3" descr="https://chooser-beta.creativecommons.org/img/cc-nc.218f18fc.svg">
          <a:hlinkClick xmlns:r="http://schemas.openxmlformats.org/officeDocument/2006/relationships" r:id="rId4" tgtFrame="_blank"/>
        </xdr:cNvPr>
        <xdr:cNvSpPr>
          <a:spLocks noChangeAspect="1" noChangeArrowheads="1"/>
        </xdr:cNvSpPr>
      </xdr:nvSpPr>
      <xdr:spPr bwMode="auto">
        <a:xfrm>
          <a:off x="1847850" y="809625"/>
          <a:ext cx="190500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600075</xdr:colOff>
      <xdr:row>5</xdr:row>
      <xdr:rowOff>0</xdr:rowOff>
    </xdr:from>
    <xdr:to>
      <xdr:col>4</xdr:col>
      <xdr:colOff>28575</xdr:colOff>
      <xdr:row>6</xdr:row>
      <xdr:rowOff>57150</xdr:rowOff>
    </xdr:to>
    <xdr:sp macro="" textlink="">
      <xdr:nvSpPr>
        <xdr:cNvPr id="20" name="AutoShape 4" descr="https://chooser-beta.creativecommons.org/img/cc-nd.de89fdeb.svg">
          <a:hlinkClick xmlns:r="http://schemas.openxmlformats.org/officeDocument/2006/relationships" r:id="rId4" tgtFrame="_blank"/>
        </xdr:cNvPr>
        <xdr:cNvSpPr>
          <a:spLocks noChangeAspect="1" noChangeArrowheads="1"/>
        </xdr:cNvSpPr>
      </xdr:nvSpPr>
      <xdr:spPr bwMode="auto">
        <a:xfrm>
          <a:off x="2047875" y="809625"/>
          <a:ext cx="190500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26056</xdr:colOff>
      <xdr:row>5</xdr:row>
      <xdr:rowOff>19010</xdr:rowOff>
    </xdr:from>
    <xdr:to>
      <xdr:col>3</xdr:col>
      <xdr:colOff>183494</xdr:colOff>
      <xdr:row>6</xdr:row>
      <xdr:rowOff>38139</xdr:rowOff>
    </xdr:to>
    <xdr:sp macro="" textlink="">
      <xdr:nvSpPr>
        <xdr:cNvPr id="21" name="AutoShape 5" descr="https://chooser-beta.creativecommons.org/img/cc-logo.f0ab4ebe.svg">
          <a:hlinkClick xmlns:r="http://schemas.openxmlformats.org/officeDocument/2006/relationships" r:id="rId3" tgtFrame="_blank"/>
        </xdr:cNvPr>
        <xdr:cNvSpPr>
          <a:spLocks noChangeAspect="1" noChangeArrowheads="1"/>
        </xdr:cNvSpPr>
      </xdr:nvSpPr>
      <xdr:spPr bwMode="auto">
        <a:xfrm>
          <a:off x="1473856" y="828635"/>
          <a:ext cx="157438" cy="18105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200025</xdr:colOff>
      <xdr:row>5</xdr:row>
      <xdr:rowOff>0</xdr:rowOff>
    </xdr:from>
    <xdr:to>
      <xdr:col>3</xdr:col>
      <xdr:colOff>390525</xdr:colOff>
      <xdr:row>6</xdr:row>
      <xdr:rowOff>57150</xdr:rowOff>
    </xdr:to>
    <xdr:sp macro="" textlink="">
      <xdr:nvSpPr>
        <xdr:cNvPr id="22" name="AutoShape 6" descr="https://chooser-beta.creativecommons.org/img/cc-zero.f5450231.svg">
          <a:hlinkClick xmlns:r="http://schemas.openxmlformats.org/officeDocument/2006/relationships" r:id="rId3" tgtFrame="_blank"/>
        </xdr:cNvPr>
        <xdr:cNvSpPr>
          <a:spLocks noChangeAspect="1" noChangeArrowheads="1"/>
        </xdr:cNvSpPr>
      </xdr:nvSpPr>
      <xdr:spPr bwMode="auto">
        <a:xfrm>
          <a:off x="1647825" y="809625"/>
          <a:ext cx="190500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400050</xdr:colOff>
      <xdr:row>5</xdr:row>
      <xdr:rowOff>0</xdr:rowOff>
    </xdr:from>
    <xdr:to>
      <xdr:col>3</xdr:col>
      <xdr:colOff>590550</xdr:colOff>
      <xdr:row>6</xdr:row>
      <xdr:rowOff>57150</xdr:rowOff>
    </xdr:to>
    <xdr:sp macro="" textlink="">
      <xdr:nvSpPr>
        <xdr:cNvPr id="23" name="AutoShape 3" descr="https://chooser-beta.creativecommons.org/img/cc-nc.218f18fc.svg">
          <a:hlinkClick xmlns:r="http://schemas.openxmlformats.org/officeDocument/2006/relationships" r:id="rId4" tgtFrame="_blank"/>
        </xdr:cNvPr>
        <xdr:cNvSpPr>
          <a:spLocks noChangeAspect="1" noChangeArrowheads="1"/>
        </xdr:cNvSpPr>
      </xdr:nvSpPr>
      <xdr:spPr bwMode="auto">
        <a:xfrm>
          <a:off x="1847850" y="809625"/>
          <a:ext cx="190500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600075</xdr:colOff>
      <xdr:row>5</xdr:row>
      <xdr:rowOff>0</xdr:rowOff>
    </xdr:from>
    <xdr:to>
      <xdr:col>3</xdr:col>
      <xdr:colOff>190500</xdr:colOff>
      <xdr:row>6</xdr:row>
      <xdr:rowOff>57150</xdr:rowOff>
    </xdr:to>
    <xdr:sp macro="" textlink="">
      <xdr:nvSpPr>
        <xdr:cNvPr id="24" name="AutoShape 4" descr="https://chooser-beta.creativecommons.org/img/cc-nd.de89fdeb.svg">
          <a:hlinkClick xmlns:r="http://schemas.openxmlformats.org/officeDocument/2006/relationships" r:id="rId4" tgtFrame="_blank"/>
        </xdr:cNvPr>
        <xdr:cNvSpPr>
          <a:spLocks noChangeAspect="1" noChangeArrowheads="1"/>
        </xdr:cNvSpPr>
      </xdr:nvSpPr>
      <xdr:spPr bwMode="auto">
        <a:xfrm>
          <a:off x="1447800" y="809625"/>
          <a:ext cx="190500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190500</xdr:colOff>
      <xdr:row>6</xdr:row>
      <xdr:rowOff>28575</xdr:rowOff>
    </xdr:to>
    <xdr:sp macro="" textlink="">
      <xdr:nvSpPr>
        <xdr:cNvPr id="25" name="AutoShape 5" descr="https://chooser-beta.creativecommons.org/img/cc-logo.f0ab4ebe.svg">
          <a:hlinkClick xmlns:r="http://schemas.openxmlformats.org/officeDocument/2006/relationships" r:id="rId4" tgtFrame="_blank"/>
        </xdr:cNvPr>
        <xdr:cNvSpPr>
          <a:spLocks noChangeAspect="1" noChangeArrowheads="1"/>
        </xdr:cNvSpPr>
      </xdr:nvSpPr>
      <xdr:spPr bwMode="auto">
        <a:xfrm>
          <a:off x="1447800" y="80962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200025</xdr:colOff>
      <xdr:row>5</xdr:row>
      <xdr:rowOff>0</xdr:rowOff>
    </xdr:from>
    <xdr:to>
      <xdr:col>3</xdr:col>
      <xdr:colOff>390525</xdr:colOff>
      <xdr:row>6</xdr:row>
      <xdr:rowOff>28575</xdr:rowOff>
    </xdr:to>
    <xdr:sp macro="" textlink="">
      <xdr:nvSpPr>
        <xdr:cNvPr id="26" name="AutoShape 6" descr="https://chooser-beta.creativecommons.org/img/cc-by.21b728bb.svg">
          <a:hlinkClick xmlns:r="http://schemas.openxmlformats.org/officeDocument/2006/relationships" r:id="rId4" tgtFrame="_blank"/>
        </xdr:cNvPr>
        <xdr:cNvSpPr>
          <a:spLocks noChangeAspect="1" noChangeArrowheads="1"/>
        </xdr:cNvSpPr>
      </xdr:nvSpPr>
      <xdr:spPr bwMode="auto">
        <a:xfrm>
          <a:off x="1647825" y="80962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400050</xdr:colOff>
      <xdr:row>5</xdr:row>
      <xdr:rowOff>0</xdr:rowOff>
    </xdr:from>
    <xdr:to>
      <xdr:col>3</xdr:col>
      <xdr:colOff>590550</xdr:colOff>
      <xdr:row>6</xdr:row>
      <xdr:rowOff>28575</xdr:rowOff>
    </xdr:to>
    <xdr:sp macro="" textlink="">
      <xdr:nvSpPr>
        <xdr:cNvPr id="27" name="AutoShape 7" descr="https://chooser-beta.creativecommons.org/img/cc-nc.218f18fc.svg">
          <a:hlinkClick xmlns:r="http://schemas.openxmlformats.org/officeDocument/2006/relationships" r:id="rId4" tgtFrame="_blank"/>
        </xdr:cNvPr>
        <xdr:cNvSpPr>
          <a:spLocks noChangeAspect="1" noChangeArrowheads="1"/>
        </xdr:cNvSpPr>
      </xdr:nvSpPr>
      <xdr:spPr bwMode="auto">
        <a:xfrm>
          <a:off x="1847850" y="80962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600075</xdr:colOff>
      <xdr:row>5</xdr:row>
      <xdr:rowOff>0</xdr:rowOff>
    </xdr:from>
    <xdr:to>
      <xdr:col>4</xdr:col>
      <xdr:colOff>28575</xdr:colOff>
      <xdr:row>6</xdr:row>
      <xdr:rowOff>28575</xdr:rowOff>
    </xdr:to>
    <xdr:sp macro="" textlink="">
      <xdr:nvSpPr>
        <xdr:cNvPr id="28" name="AutoShape 8" descr="https://chooser-beta.creativecommons.org/img/cc-nd.de89fdeb.svg">
          <a:hlinkClick xmlns:r="http://schemas.openxmlformats.org/officeDocument/2006/relationships" r:id="rId4" tgtFrame="_blank"/>
        </xdr:cNvPr>
        <xdr:cNvSpPr>
          <a:spLocks noChangeAspect="1" noChangeArrowheads="1"/>
        </xdr:cNvSpPr>
      </xdr:nvSpPr>
      <xdr:spPr bwMode="auto">
        <a:xfrm>
          <a:off x="2047875" y="80962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190500</xdr:colOff>
      <xdr:row>6</xdr:row>
      <xdr:rowOff>28575</xdr:rowOff>
    </xdr:to>
    <xdr:sp macro="" textlink="">
      <xdr:nvSpPr>
        <xdr:cNvPr id="29" name="AutoShape 9" descr="https://chooser-beta.creativecommons.org/img/cc-logo.f0ab4ebe.svg">
          <a:hlinkClick xmlns:r="http://schemas.openxmlformats.org/officeDocument/2006/relationships" r:id="rId4" tgtFrame="_blank"/>
        </xdr:cNvPr>
        <xdr:cNvSpPr>
          <a:spLocks noChangeAspect="1" noChangeArrowheads="1"/>
        </xdr:cNvSpPr>
      </xdr:nvSpPr>
      <xdr:spPr bwMode="auto">
        <a:xfrm>
          <a:off x="1447800" y="80962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200025</xdr:colOff>
      <xdr:row>5</xdr:row>
      <xdr:rowOff>0</xdr:rowOff>
    </xdr:from>
    <xdr:to>
      <xdr:col>3</xdr:col>
      <xdr:colOff>390525</xdr:colOff>
      <xdr:row>6</xdr:row>
      <xdr:rowOff>28575</xdr:rowOff>
    </xdr:to>
    <xdr:sp macro="" textlink="">
      <xdr:nvSpPr>
        <xdr:cNvPr id="30" name="AutoShape 10" descr="https://chooser-beta.creativecommons.org/img/cc-by.21b728bb.svg">
          <a:hlinkClick xmlns:r="http://schemas.openxmlformats.org/officeDocument/2006/relationships" r:id="rId4" tgtFrame="_blank"/>
        </xdr:cNvPr>
        <xdr:cNvSpPr>
          <a:spLocks noChangeAspect="1" noChangeArrowheads="1"/>
        </xdr:cNvSpPr>
      </xdr:nvSpPr>
      <xdr:spPr bwMode="auto">
        <a:xfrm>
          <a:off x="1647825" y="80962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400050</xdr:colOff>
      <xdr:row>5</xdr:row>
      <xdr:rowOff>0</xdr:rowOff>
    </xdr:from>
    <xdr:to>
      <xdr:col>3</xdr:col>
      <xdr:colOff>590550</xdr:colOff>
      <xdr:row>6</xdr:row>
      <xdr:rowOff>28575</xdr:rowOff>
    </xdr:to>
    <xdr:sp macro="" textlink="">
      <xdr:nvSpPr>
        <xdr:cNvPr id="31" name="AutoShape 11" descr="https://chooser-beta.creativecommons.org/img/cc-nc.218f18fc.svg">
          <a:hlinkClick xmlns:r="http://schemas.openxmlformats.org/officeDocument/2006/relationships" r:id="rId4" tgtFrame="_blank"/>
        </xdr:cNvPr>
        <xdr:cNvSpPr>
          <a:spLocks noChangeAspect="1" noChangeArrowheads="1"/>
        </xdr:cNvSpPr>
      </xdr:nvSpPr>
      <xdr:spPr bwMode="auto">
        <a:xfrm>
          <a:off x="1847850" y="80962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600075</xdr:colOff>
      <xdr:row>5</xdr:row>
      <xdr:rowOff>0</xdr:rowOff>
    </xdr:from>
    <xdr:to>
      <xdr:col>4</xdr:col>
      <xdr:colOff>28575</xdr:colOff>
      <xdr:row>6</xdr:row>
      <xdr:rowOff>28575</xdr:rowOff>
    </xdr:to>
    <xdr:sp macro="" textlink="">
      <xdr:nvSpPr>
        <xdr:cNvPr id="32" name="AutoShape 12" descr="https://chooser-beta.creativecommons.org/img/cc-nd.de89fdeb.svg">
          <a:hlinkClick xmlns:r="http://schemas.openxmlformats.org/officeDocument/2006/relationships" r:id="rId4" tgtFrame="_blank"/>
        </xdr:cNvPr>
        <xdr:cNvSpPr>
          <a:spLocks noChangeAspect="1" noChangeArrowheads="1"/>
        </xdr:cNvSpPr>
      </xdr:nvSpPr>
      <xdr:spPr bwMode="auto">
        <a:xfrm>
          <a:off x="2047875" y="80962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190500</xdr:colOff>
      <xdr:row>4</xdr:row>
      <xdr:rowOff>190500</xdr:rowOff>
    </xdr:to>
    <xdr:sp macro="" textlink="">
      <xdr:nvSpPr>
        <xdr:cNvPr id="7169" name="AutoShape 1" descr="https://chooser-beta.creativecommons.org/img/cc-logo.f0ab4ebe.svg">
          <a:hlinkClick xmlns:r="http://schemas.openxmlformats.org/officeDocument/2006/relationships" r:id="rId4" tgtFrame="_blank"/>
        </xdr:cNvPr>
        <xdr:cNvSpPr>
          <a:spLocks noChangeAspect="1" noChangeArrowheads="1"/>
        </xdr:cNvSpPr>
      </xdr:nvSpPr>
      <xdr:spPr bwMode="auto">
        <a:xfrm>
          <a:off x="2209800" y="32385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200025</xdr:colOff>
      <xdr:row>4</xdr:row>
      <xdr:rowOff>0</xdr:rowOff>
    </xdr:from>
    <xdr:to>
      <xdr:col>3</xdr:col>
      <xdr:colOff>390525</xdr:colOff>
      <xdr:row>4</xdr:row>
      <xdr:rowOff>190500</xdr:rowOff>
    </xdr:to>
    <xdr:sp macro="" textlink="">
      <xdr:nvSpPr>
        <xdr:cNvPr id="7170" name="AutoShape 2" descr="https://chooser-beta.creativecommons.org/img/cc-by.21b728bb.svg">
          <a:hlinkClick xmlns:r="http://schemas.openxmlformats.org/officeDocument/2006/relationships" r:id="rId4" tgtFrame="_blank"/>
        </xdr:cNvPr>
        <xdr:cNvSpPr>
          <a:spLocks noChangeAspect="1" noChangeArrowheads="1"/>
        </xdr:cNvSpPr>
      </xdr:nvSpPr>
      <xdr:spPr bwMode="auto">
        <a:xfrm>
          <a:off x="2409825" y="32385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400050</xdr:colOff>
      <xdr:row>4</xdr:row>
      <xdr:rowOff>0</xdr:rowOff>
    </xdr:from>
    <xdr:to>
      <xdr:col>3</xdr:col>
      <xdr:colOff>590550</xdr:colOff>
      <xdr:row>4</xdr:row>
      <xdr:rowOff>190500</xdr:rowOff>
    </xdr:to>
    <xdr:sp macro="" textlink="">
      <xdr:nvSpPr>
        <xdr:cNvPr id="7171" name="AutoShape 3" descr="https://chooser-beta.creativecommons.org/img/cc-nc.218f18fc.svg">
          <a:hlinkClick xmlns:r="http://schemas.openxmlformats.org/officeDocument/2006/relationships" r:id="rId4" tgtFrame="_blank"/>
        </xdr:cNvPr>
        <xdr:cNvSpPr>
          <a:spLocks noChangeAspect="1" noChangeArrowheads="1"/>
        </xdr:cNvSpPr>
      </xdr:nvSpPr>
      <xdr:spPr bwMode="auto">
        <a:xfrm>
          <a:off x="2609850" y="32385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600075</xdr:colOff>
      <xdr:row>4</xdr:row>
      <xdr:rowOff>0</xdr:rowOff>
    </xdr:from>
    <xdr:to>
      <xdr:col>4</xdr:col>
      <xdr:colOff>28575</xdr:colOff>
      <xdr:row>4</xdr:row>
      <xdr:rowOff>190500</xdr:rowOff>
    </xdr:to>
    <xdr:sp macro="" textlink="">
      <xdr:nvSpPr>
        <xdr:cNvPr id="7172" name="AutoShape 4" descr="https://chooser-beta.creativecommons.org/img/cc-nd.de89fdeb.svg">
          <a:hlinkClick xmlns:r="http://schemas.openxmlformats.org/officeDocument/2006/relationships" r:id="rId4" tgtFrame="_blank"/>
        </xdr:cNvPr>
        <xdr:cNvSpPr>
          <a:spLocks noChangeAspect="1" noChangeArrowheads="1"/>
        </xdr:cNvSpPr>
      </xdr:nvSpPr>
      <xdr:spPr bwMode="auto">
        <a:xfrm>
          <a:off x="2809875" y="32385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uario\Downloads\Calculo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uario\Documents\Laboratorio\Taller%20(NAS)\T-Programaci&#243;n\Excel\Calculo%20Estad&#237;stico\Calculos%20en%20Excel%20_M\+%20Inferencia%201%20proporcion_20181117_por_lote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Versiones_M/Testt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Lab/T-Programaci&#243;n/Excel/Calculo%20Estad&#237;stico/Calculos%20en%20Excel%20_M/+%20Inferencia%201%20media%20VANormal_2016112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icio"/>
      <sheetName val="Borrador"/>
      <sheetName val="Descriptiva"/>
      <sheetName val="Interpolación"/>
      <sheetName val="IC-medias"/>
      <sheetName val="IC- 1 proporción"/>
      <sheetName val="IC-Poisson"/>
      <sheetName val="Test 1 proporción"/>
      <sheetName val="Test homg. 2 Poisson"/>
      <sheetName val="2 proporciones indeps"/>
      <sheetName val="Tabla 2x2"/>
      <sheetName val="Tabla 2x2 (2)"/>
      <sheetName val="tendencia proporciones"/>
      <sheetName val="tendencia proporciones (2)"/>
      <sheetName val="McNemar"/>
      <sheetName val="Acuerdo 2x2 asintotico"/>
      <sheetName val="Test diagnostico binario"/>
      <sheetName val="Equivalencia de proporciones"/>
      <sheetName val="Test 1 media (con frecs)"/>
      <sheetName val="Test Student-Welch"/>
      <sheetName val="Test Student apareadas"/>
      <sheetName val="Regresión"/>
      <sheetName val="Correlacion y tam muestra"/>
      <sheetName val="Simula muestras apareadas"/>
      <sheetName val="Test Wilcoxon m. apareadas"/>
      <sheetName val="D'Agostino"/>
      <sheetName val="Simula Caso unico"/>
      <sheetName val="Simula normal"/>
      <sheetName val="Simula Poisson"/>
      <sheetName val="Simula ANOVA1"/>
      <sheetName val="Datos ANOVA1"/>
      <sheetName val="Hoja1"/>
      <sheetName val="D'Agostino (bk-con macro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_1_Proporcion"/>
      <sheetName val="MH0l"/>
      <sheetName val="Tabla ejercicios"/>
      <sheetName val="Banco de enunciados"/>
      <sheetName val="Datos"/>
      <sheetName val="Referencias"/>
    </sheetNames>
    <sheetDataSet>
      <sheetData sheetId="0">
        <row r="26">
          <cell r="G26" t="str">
            <v>d</v>
          </cell>
        </row>
      </sheetData>
      <sheetData sheetId="1">
        <row r="8">
          <cell r="E8">
            <v>1941415</v>
          </cell>
        </row>
        <row r="9">
          <cell r="E9">
            <v>18</v>
          </cell>
        </row>
        <row r="13">
          <cell r="E13">
            <v>1.9599639845400536</v>
          </cell>
        </row>
        <row r="18">
          <cell r="E18">
            <v>9.2715879912331988E-6</v>
          </cell>
        </row>
        <row r="19">
          <cell r="E19">
            <v>0.99999072841200876</v>
          </cell>
        </row>
        <row r="52">
          <cell r="E52">
            <v>0.1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entación"/>
      <sheetName val="1 muestra"/>
      <sheetName val="2 muestras independientes"/>
      <sheetName val="RMI"/>
      <sheetName val="!0"/>
      <sheetName val="2 muestras relacionadas"/>
      <sheetName val="CC"/>
      <sheetName val="MH0ll"/>
      <sheetName val="RMA"/>
      <sheetName val="!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2">
          <cell r="K2" t="str">
            <v>±</v>
          </cell>
        </row>
      </sheetData>
      <sheetData sheetId="8">
        <row r="30">
          <cell r="C30" t="str">
            <v>±</v>
          </cell>
        </row>
      </sheetData>
      <sheetData sheetId="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_1_media"/>
      <sheetName val="MH0ll"/>
      <sheetName val="Simulador"/>
      <sheetName val="Examenes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ugr.es/~pfemia/apps/Descrip" TargetMode="External"/><Relationship Id="rId2" Type="http://schemas.openxmlformats.org/officeDocument/2006/relationships/hyperlink" Target="https://www.ugr.es/~pfemia/apps/Prop" TargetMode="External"/><Relationship Id="rId1" Type="http://schemas.openxmlformats.org/officeDocument/2006/relationships/hyperlink" Target="mailto:pfemia@ugr.es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ugr.es/~bioest" TargetMode="External"/><Relationship Id="rId1" Type="http://schemas.openxmlformats.org/officeDocument/2006/relationships/hyperlink" Target="http://www.ugr.es/~pfemia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1"/>
  <sheetViews>
    <sheetView showGridLines="0" tabSelected="1" workbookViewId="0">
      <selection activeCell="G5" sqref="G4:L5"/>
    </sheetView>
  </sheetViews>
  <sheetFormatPr baseColWidth="10" defaultRowHeight="12.75" x14ac:dyDescent="0.2"/>
  <cols>
    <col min="1" max="1" width="2.140625" customWidth="1"/>
    <col min="3" max="3" width="7.5703125" customWidth="1"/>
    <col min="4" max="4" width="8" customWidth="1"/>
    <col min="6" max="6" width="1.5703125" customWidth="1"/>
    <col min="13" max="13" width="3" customWidth="1"/>
  </cols>
  <sheetData>
    <row r="1" spans="1:19" ht="23.25" customHeight="1" x14ac:dyDescent="0.2">
      <c r="A1" s="411"/>
      <c r="B1" s="484" t="s">
        <v>184</v>
      </c>
      <c r="C1" s="484"/>
      <c r="D1" s="484"/>
      <c r="E1" s="412" t="s">
        <v>192</v>
      </c>
      <c r="F1" s="412"/>
      <c r="G1" s="413"/>
      <c r="H1" s="413"/>
      <c r="I1" s="413"/>
      <c r="J1" s="413"/>
      <c r="K1" s="413"/>
      <c r="L1" s="413"/>
      <c r="M1" s="413"/>
      <c r="N1" s="414"/>
      <c r="O1" s="414"/>
      <c r="P1" s="414"/>
      <c r="Q1" s="414"/>
      <c r="R1" s="415"/>
      <c r="S1" s="416"/>
    </row>
    <row r="2" spans="1:19" ht="23.25" customHeight="1" x14ac:dyDescent="0.2">
      <c r="A2" s="417"/>
      <c r="B2" s="418" t="s">
        <v>6</v>
      </c>
      <c r="C2" s="419"/>
      <c r="D2" s="420"/>
      <c r="E2" s="420"/>
      <c r="F2" s="420"/>
      <c r="G2" s="420"/>
      <c r="H2" s="420"/>
      <c r="I2" s="420"/>
      <c r="J2" s="420"/>
      <c r="K2" s="420"/>
      <c r="L2" s="420"/>
      <c r="M2" s="420"/>
      <c r="N2" s="419"/>
      <c r="O2" s="419"/>
      <c r="P2" s="419"/>
      <c r="Q2" s="419"/>
      <c r="R2" s="421"/>
      <c r="S2" s="422"/>
    </row>
    <row r="3" spans="1:19" ht="22.5" customHeight="1" x14ac:dyDescent="0.2">
      <c r="A3" s="423"/>
      <c r="B3" s="424" t="s">
        <v>2</v>
      </c>
      <c r="C3" s="425"/>
      <c r="D3" s="426" t="s">
        <v>104</v>
      </c>
      <c r="E3" s="425"/>
      <c r="F3" s="427"/>
      <c r="G3" s="428" t="s">
        <v>185</v>
      </c>
      <c r="H3" s="429"/>
      <c r="I3" s="485" t="s">
        <v>186</v>
      </c>
      <c r="J3" s="485"/>
      <c r="K3" s="485"/>
      <c r="L3" s="486"/>
      <c r="M3" s="430"/>
      <c r="N3" s="431"/>
      <c r="O3" s="479"/>
      <c r="P3" s="431"/>
      <c r="Q3" s="431"/>
      <c r="R3" s="432"/>
      <c r="S3" s="433"/>
    </row>
    <row r="4" spans="1:19" ht="11.25" customHeight="1" x14ac:dyDescent="0.25">
      <c r="A4" s="434"/>
      <c r="B4" s="435" t="s">
        <v>187</v>
      </c>
      <c r="C4" s="435"/>
      <c r="D4" s="435"/>
      <c r="E4" s="435"/>
      <c r="F4" s="436"/>
      <c r="G4" s="487" t="s">
        <v>193</v>
      </c>
      <c r="H4" s="487"/>
      <c r="I4" s="487"/>
      <c r="J4" s="487"/>
      <c r="K4" s="487"/>
      <c r="L4" s="487"/>
      <c r="M4" s="437"/>
      <c r="N4" s="438"/>
      <c r="O4" s="438"/>
      <c r="P4" s="438"/>
      <c r="Q4" s="438"/>
      <c r="R4" s="439"/>
      <c r="S4" s="416"/>
    </row>
    <row r="5" spans="1:19" ht="15.75" customHeight="1" x14ac:dyDescent="0.25">
      <c r="A5" s="434"/>
      <c r="B5" s="435" t="s">
        <v>188</v>
      </c>
      <c r="C5" s="435"/>
      <c r="D5" s="435"/>
      <c r="E5" s="435"/>
      <c r="F5" s="436"/>
      <c r="G5" s="488" t="str">
        <f>C30</f>
        <v>https://www.ugr.es/~pfemia/apps/Prop</v>
      </c>
      <c r="H5" s="488"/>
      <c r="I5" s="488"/>
      <c r="J5" s="488"/>
      <c r="K5" s="488"/>
      <c r="L5" s="488"/>
      <c r="M5" s="440"/>
      <c r="N5" s="480" t="s">
        <v>236</v>
      </c>
      <c r="O5" s="480"/>
      <c r="P5" s="480"/>
      <c r="Q5" s="480"/>
      <c r="R5" s="481"/>
      <c r="S5" s="416"/>
    </row>
    <row r="6" spans="1:19" ht="15" x14ac:dyDescent="0.25">
      <c r="A6" s="441"/>
      <c r="B6" s="442" t="s">
        <v>189</v>
      </c>
      <c r="C6" s="442"/>
      <c r="D6" s="442"/>
      <c r="E6" s="442"/>
      <c r="F6" s="443"/>
      <c r="G6" s="442"/>
      <c r="H6" s="442"/>
      <c r="I6" s="442"/>
      <c r="J6" s="442"/>
      <c r="K6" s="442"/>
      <c r="L6" s="442"/>
      <c r="M6" s="444"/>
      <c r="N6" s="482"/>
      <c r="O6" s="482"/>
      <c r="P6" s="482"/>
      <c r="Q6" s="482"/>
      <c r="R6" s="483"/>
      <c r="S6" s="416"/>
    </row>
    <row r="8" spans="1:19" ht="15" x14ac:dyDescent="0.25">
      <c r="A8" s="445" t="s">
        <v>190</v>
      </c>
      <c r="B8" s="446"/>
    </row>
    <row r="9" spans="1:19" ht="15" x14ac:dyDescent="0.25">
      <c r="A9" s="447" t="s">
        <v>191</v>
      </c>
      <c r="B9" s="446" t="s">
        <v>207</v>
      </c>
    </row>
    <row r="10" spans="1:19" ht="15" x14ac:dyDescent="0.25">
      <c r="A10" s="447" t="s">
        <v>196</v>
      </c>
      <c r="B10" s="446" t="s">
        <v>239</v>
      </c>
    </row>
    <row r="11" spans="1:19" ht="15" x14ac:dyDescent="0.25">
      <c r="A11" s="447"/>
      <c r="B11" s="446" t="s">
        <v>208</v>
      </c>
    </row>
    <row r="12" spans="1:19" ht="15" x14ac:dyDescent="0.25">
      <c r="A12" s="447" t="s">
        <v>196</v>
      </c>
      <c r="B12" s="446" t="s">
        <v>240</v>
      </c>
    </row>
    <row r="13" spans="1:19" ht="15" x14ac:dyDescent="0.25">
      <c r="B13" s="446" t="s">
        <v>209</v>
      </c>
    </row>
    <row r="15" spans="1:19" x14ac:dyDescent="0.2">
      <c r="B15" s="471" t="s">
        <v>210</v>
      </c>
      <c r="C15" s="520"/>
    </row>
    <row r="17" spans="1:7" x14ac:dyDescent="0.2">
      <c r="B17" s="471" t="s">
        <v>238</v>
      </c>
      <c r="C17" s="520" t="s">
        <v>241</v>
      </c>
    </row>
    <row r="20" spans="1:7" ht="15" x14ac:dyDescent="0.25">
      <c r="A20" s="458" t="s">
        <v>195</v>
      </c>
      <c r="B20" s="459"/>
      <c r="C20" s="460"/>
      <c r="D20" s="459"/>
      <c r="E20" s="459"/>
      <c r="F20" s="459"/>
      <c r="G20" s="459"/>
    </row>
    <row r="21" spans="1:7" ht="15" x14ac:dyDescent="0.25">
      <c r="A21" s="461" t="s">
        <v>196</v>
      </c>
      <c r="B21" s="462" t="s">
        <v>197</v>
      </c>
      <c r="C21" s="459"/>
      <c r="D21" s="459"/>
      <c r="E21" s="459"/>
      <c r="F21" s="459"/>
      <c r="G21" s="459"/>
    </row>
    <row r="22" spans="1:7" ht="15" x14ac:dyDescent="0.25">
      <c r="A22" s="461"/>
      <c r="B22" s="463" t="s">
        <v>198</v>
      </c>
      <c r="C22" s="459"/>
      <c r="D22" s="459"/>
      <c r="E22" s="459"/>
      <c r="F22" s="459"/>
      <c r="G22" s="459"/>
    </row>
    <row r="23" spans="1:7" ht="15" x14ac:dyDescent="0.25">
      <c r="A23" s="461" t="s">
        <v>124</v>
      </c>
      <c r="B23" s="462" t="s">
        <v>103</v>
      </c>
      <c r="C23" s="459"/>
      <c r="D23" s="459"/>
      <c r="E23" s="459"/>
      <c r="F23" s="459"/>
      <c r="G23" s="459"/>
    </row>
    <row r="24" spans="1:7" ht="15" x14ac:dyDescent="0.25">
      <c r="A24" s="461"/>
      <c r="B24" s="462"/>
      <c r="C24" s="459"/>
      <c r="D24" s="459"/>
      <c r="E24" s="459"/>
      <c r="F24" s="459"/>
      <c r="G24" s="459"/>
    </row>
    <row r="25" spans="1:7" ht="15" x14ac:dyDescent="0.25">
      <c r="A25" s="459"/>
      <c r="B25" s="459"/>
      <c r="C25" s="459"/>
      <c r="D25" s="459"/>
      <c r="E25" s="459"/>
      <c r="F25" s="459"/>
      <c r="G25" s="459"/>
    </row>
    <row r="26" spans="1:7" ht="15" x14ac:dyDescent="0.25">
      <c r="A26" s="445" t="s">
        <v>199</v>
      </c>
      <c r="B26" s="446"/>
      <c r="C26" s="446"/>
      <c r="D26" s="446"/>
      <c r="E26" s="446"/>
      <c r="F26" s="446"/>
      <c r="G26" s="459"/>
    </row>
    <row r="27" spans="1:7" ht="15" x14ac:dyDescent="0.25">
      <c r="A27" s="446"/>
      <c r="B27" s="459" t="s">
        <v>200</v>
      </c>
      <c r="C27" s="459" t="s">
        <v>201</v>
      </c>
      <c r="D27" s="459"/>
      <c r="E27" s="459"/>
      <c r="F27" s="459"/>
      <c r="G27" s="459"/>
    </row>
    <row r="28" spans="1:7" ht="15" x14ac:dyDescent="0.25">
      <c r="A28" s="446"/>
      <c r="B28" s="464" t="s">
        <v>202</v>
      </c>
      <c r="C28" s="446" t="s">
        <v>206</v>
      </c>
      <c r="D28" s="446"/>
      <c r="E28" s="446"/>
      <c r="F28" s="446"/>
      <c r="G28" s="459"/>
    </row>
    <row r="29" spans="1:7" ht="15" x14ac:dyDescent="0.25">
      <c r="A29" s="446"/>
      <c r="B29" s="446" t="s">
        <v>203</v>
      </c>
      <c r="C29" s="465">
        <v>2023</v>
      </c>
      <c r="D29" s="446" t="str">
        <f>"(2008-"&amp;C29&amp;")"</f>
        <v>(2008-2023)</v>
      </c>
      <c r="E29" s="446"/>
      <c r="F29" s="446"/>
      <c r="G29" s="459"/>
    </row>
    <row r="30" spans="1:7" ht="15" x14ac:dyDescent="0.25">
      <c r="A30" s="446"/>
      <c r="B30" s="446" t="s">
        <v>204</v>
      </c>
      <c r="C30" s="489" t="s">
        <v>205</v>
      </c>
      <c r="D30" s="489"/>
      <c r="E30" s="489"/>
      <c r="F30" s="489"/>
      <c r="G30" s="489"/>
    </row>
    <row r="31" spans="1:7" ht="15" x14ac:dyDescent="0.25">
      <c r="A31" s="459"/>
      <c r="B31" s="459"/>
      <c r="C31" s="459"/>
      <c r="D31" s="459"/>
      <c r="E31" s="459"/>
      <c r="F31" s="459"/>
      <c r="G31" s="459"/>
    </row>
  </sheetData>
  <sheetProtection algorithmName="SHA-512" hashValue="wlPFVi8/r2K9xkl5gD/ftqi9tmH2eaFzOvb67c1Mv7Hoj4hKaOJUfPaiHFRDyH1vYrktcIXGSY7etOvqyC2wmw==" saltValue="FeAadsz2PZCMjNhRNqbZhA==" spinCount="100000" sheet="1" objects="1" scenarios="1"/>
  <mergeCells count="6">
    <mergeCell ref="C30:G30"/>
    <mergeCell ref="N5:R6"/>
    <mergeCell ref="B1:D1"/>
    <mergeCell ref="I3:L3"/>
    <mergeCell ref="G4:L4"/>
    <mergeCell ref="G5:L5"/>
  </mergeCells>
  <hyperlinks>
    <hyperlink ref="D3" r:id="rId1"/>
    <hyperlink ref="C30" r:id="rId2"/>
    <hyperlink ref="C30:G30" r:id="rId3" display="https://www.ugr.es/~pfemia/apps/Descrip"/>
    <hyperlink ref="B15" location="Inferencias!A1" display="Ir a Inferencias"/>
    <hyperlink ref="B17" location="CC!A1" display="Ver licencia"/>
  </hyperlinks>
  <pageMargins left="0.7" right="0.7" top="0.75" bottom="0.75" header="0.3" footer="0.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T72"/>
  <sheetViews>
    <sheetView showGridLines="0" workbookViewId="0">
      <pane ySplit="1" topLeftCell="A2" activePane="bottomLeft" state="frozenSplit"/>
      <selection activeCell="H52" sqref="H52"/>
      <selection pane="bottomLeft" activeCell="O20" sqref="O20"/>
    </sheetView>
  </sheetViews>
  <sheetFormatPr baseColWidth="10" defaultRowHeight="12.75" x14ac:dyDescent="0.2"/>
  <cols>
    <col min="1" max="1" width="2.5703125" style="12" customWidth="1"/>
    <col min="2" max="2" width="2" style="20" customWidth="1"/>
    <col min="3" max="3" width="5.140625" style="11" customWidth="1"/>
    <col min="4" max="4" width="14" style="12" customWidth="1"/>
    <col min="5" max="5" width="13.140625" style="12" customWidth="1"/>
    <col min="6" max="6" width="1" style="12" customWidth="1"/>
    <col min="7" max="7" width="13.85546875" style="12" customWidth="1"/>
    <col min="8" max="8" width="13.42578125" style="12" customWidth="1"/>
    <col min="9" max="9" width="9.5703125" style="12" customWidth="1"/>
    <col min="10" max="12" width="10.42578125" style="12" customWidth="1"/>
    <col min="13" max="13" width="8.7109375" style="12" customWidth="1"/>
    <col min="14" max="14" width="14" style="12" customWidth="1"/>
    <col min="15" max="15" width="10.140625" style="12" customWidth="1"/>
    <col min="16" max="16" width="10.85546875" style="12" customWidth="1"/>
    <col min="17" max="17" width="12" style="12" customWidth="1"/>
    <col min="18" max="16384" width="11.42578125" style="12"/>
  </cols>
  <sheetData>
    <row r="1" spans="1:20" s="452" customFormat="1" ht="20.25" customHeight="1" x14ac:dyDescent="0.2">
      <c r="B1" s="457" t="str">
        <f>Presentación!E1&amp;" /"</f>
        <v>Prop /</v>
      </c>
      <c r="C1" s="453"/>
      <c r="D1" s="453" t="str">
        <f>Presentación!B2</f>
        <v>Inferencia sobre una proporción binomial</v>
      </c>
      <c r="E1" s="454"/>
      <c r="F1" s="454"/>
      <c r="G1" s="454"/>
      <c r="H1" s="455"/>
      <c r="I1" s="455"/>
      <c r="M1" s="456"/>
      <c r="N1" s="455" t="str">
        <f>IF(OR(ISBLANK(MH0l!M1),ISERROR(MH0l!M1)),"",MH0l!M1)</f>
        <v/>
      </c>
      <c r="O1" s="455" t="str">
        <f>IF(OR(ISBLANK(MH0l!N1),ISERROR(MH0l!N1)),"",MH0l!N1)</f>
        <v/>
      </c>
      <c r="P1" s="452" t="str">
        <f>IF(OR(ISBLANK(MH0l!O1),ISERROR(MH0l!O1)),"",MH0l!O1)</f>
        <v/>
      </c>
      <c r="Q1" s="452" t="str">
        <f>IF(OR(ISBLANK(MH0l!P1),ISERROR(MH0l!P1)),"",MH0l!P1)</f>
        <v/>
      </c>
    </row>
    <row r="2" spans="1:20" s="1" customFormat="1" ht="15.75" x14ac:dyDescent="0.25">
      <c r="A2" s="492" t="s">
        <v>194</v>
      </c>
      <c r="B2" s="492"/>
      <c r="C2" s="492"/>
      <c r="D2" s="492"/>
      <c r="E2" s="2"/>
      <c r="F2" s="2"/>
      <c r="G2" s="2"/>
      <c r="H2" s="3"/>
      <c r="I2" s="3"/>
      <c r="M2" s="4"/>
      <c r="N2" s="3"/>
      <c r="O2" s="3"/>
    </row>
    <row r="3" spans="1:20" s="1" customFormat="1" ht="15.75" x14ac:dyDescent="0.25">
      <c r="A3" s="238"/>
      <c r="B3" s="238"/>
      <c r="C3" s="238"/>
      <c r="D3" s="238"/>
      <c r="E3" s="2"/>
      <c r="F3" s="2"/>
      <c r="G3" s="2"/>
      <c r="H3" s="3"/>
      <c r="I3" s="3"/>
      <c r="M3" s="4"/>
      <c r="N3" s="3"/>
      <c r="O3" s="3"/>
    </row>
    <row r="4" spans="1:20" ht="11.25" customHeight="1" x14ac:dyDescent="0.2">
      <c r="A4" s="9" t="str">
        <f>IF(OR(ISBLANK(MH0l!A5),ISERROR(MH0l!A5)),"",MH0l!A5)</f>
        <v/>
      </c>
      <c r="B4" s="10" t="str">
        <f>IF(OR(ISBLANK(MH0l!B5),ISERROR(MH0l!B5)),"",MH0l!B5)</f>
        <v/>
      </c>
      <c r="C4" s="11" t="str">
        <f>IF(OR(ISBLANK(MH0l!C5),ISERROR(MH0l!C5)),"",MH0l!C5)</f>
        <v/>
      </c>
      <c r="D4" s="12" t="str">
        <f>IF(OR(ISBLANK(MH0l!D5),ISERROR(MH0l!D5)),"",MH0l!D5)</f>
        <v/>
      </c>
      <c r="E4" s="12" t="str">
        <f>IF(OR(ISBLANK(MH0l!E5),ISERROR(MH0l!E5)),"",MH0l!E5)</f>
        <v/>
      </c>
      <c r="G4" s="12" t="str">
        <f>IF(OR(ISBLANK(MH0l!F5),ISERROR(MH0l!F5)),"",MH0l!F5)</f>
        <v/>
      </c>
      <c r="H4" s="12" t="str">
        <f>IF(OR(ISBLANK(MH0l!G5),ISERROR(MH0l!G5)),"",MH0l!G5)</f>
        <v/>
      </c>
      <c r="I4" s="12" t="str">
        <f>IF(OR(ISBLANK(MH0l!H5),ISERROR(MH0l!H5)),"",MH0l!H5)</f>
        <v/>
      </c>
      <c r="J4" s="12" t="str">
        <f>IF(OR(ISBLANK(MH0l!I5),ISERROR(MH0l!I5)),"",MH0l!I5)</f>
        <v/>
      </c>
      <c r="K4" s="12" t="str">
        <f>IF(OR(ISBLANK(MH0l!J5),ISERROR(MH0l!J5)),"",MH0l!J5)</f>
        <v/>
      </c>
      <c r="L4" s="12" t="str">
        <f>IF(OR(ISBLANK(MH0l!K5),ISERROR(MH0l!K5)),"",MH0l!K5)</f>
        <v/>
      </c>
      <c r="M4" s="12" t="str">
        <f>IF(OR(ISBLANK(MH0l!L5),ISERROR(MH0l!L5)),"",MH0l!L5)</f>
        <v/>
      </c>
      <c r="N4" s="12" t="str">
        <f>IF(OR(ISBLANK(MH0l!M5),ISERROR(MH0l!M5)),"",MH0l!M5)</f>
        <v/>
      </c>
      <c r="O4" s="12" t="str">
        <f>IF(OR(ISBLANK(MH0l!N5),ISERROR(MH0l!N5)),"",MH0l!N5)</f>
        <v/>
      </c>
      <c r="P4" s="12" t="str">
        <f>IF(OR(ISBLANK(MH0l!O5),ISERROR(MH0l!O5)),"",MH0l!O5)</f>
        <v/>
      </c>
      <c r="Q4" s="12" t="str">
        <f>IF(OR(ISBLANK(MH0l!P5),ISERROR(MH0l!P5)),"",MH0l!P5)</f>
        <v/>
      </c>
      <c r="R4" s="12" t="str">
        <f>IF(OR(ISBLANK(MH0l!Q5),ISERROR(MH0l!Q5)),"",MH0l!Q5)</f>
        <v/>
      </c>
      <c r="S4" s="12" t="str">
        <f>IF(OR(ISBLANK(MH0l!R5),ISERROR(MH0l!R5)),"",MH0l!R5)</f>
        <v/>
      </c>
    </row>
    <row r="5" spans="1:20" ht="12.75" customHeight="1" thickBot="1" x14ac:dyDescent="0.25">
      <c r="A5" s="9"/>
      <c r="B5" s="451">
        <f>IF(OR(ISBLANK(MH0l!B6),ISERROR(MH0l!B6)),"",MH0l!B6)</f>
        <v>1</v>
      </c>
      <c r="C5" s="474" t="str">
        <f>IF(OR(ISBLANK(MH0l!C6),ISERROR(MH0l!C6)),"",MH0l!C6)</f>
        <v>Entrada de datos</v>
      </c>
      <c r="D5" s="13"/>
      <c r="E5" s="13"/>
      <c r="F5" s="13"/>
      <c r="G5" s="13" t="str">
        <f>IF(OR(ISBLANK(MH0l!F6),ISERROR(MH0l!F6)),"",MH0l!F6)</f>
        <v/>
      </c>
      <c r="H5" s="13" t="str">
        <f>IF(OR(ISBLANK(MH0l!G6),ISERROR(MH0l!G6)),"",MH0l!G6)</f>
        <v/>
      </c>
      <c r="I5" s="14" t="str">
        <f>IF(OR(ISBLANK(MH0l!H6),ISERROR(MH0l!H6)),"",MH0l!H6)</f>
        <v/>
      </c>
      <c r="J5" s="14" t="str">
        <f>IF(OR(ISBLANK(MH0l!I6),ISERROR(MH0l!I6)),"",MH0l!I6)</f>
        <v/>
      </c>
      <c r="K5" s="14" t="str">
        <f>IF(OR(ISBLANK(MH0l!J6),ISERROR(MH0l!J6)),"",MH0l!J6)</f>
        <v/>
      </c>
      <c r="L5" s="14" t="str">
        <f>IF(OR(ISBLANK(MH0l!K6),ISERROR(MH0l!K6)),"",MH0l!K6)</f>
        <v/>
      </c>
      <c r="M5" s="14" t="str">
        <f>IF(OR(ISBLANK(MH0l!L6),ISERROR(MH0l!L6)),"",MH0l!L6)</f>
        <v/>
      </c>
      <c r="N5" s="14" t="str">
        <f>IF(OR(ISBLANK(MH0l!M6),ISERROR(MH0l!M6)),"",MH0l!M6)</f>
        <v/>
      </c>
      <c r="O5" s="12" t="str">
        <f>IF(OR(ISBLANK(MH0l!N6),ISERROR(MH0l!N6)),"",MH0l!N6)</f>
        <v/>
      </c>
      <c r="P5" s="12" t="str">
        <f>IF(OR(ISBLANK(MH0l!O6),ISERROR(MH0l!O6)),"",MH0l!O6)</f>
        <v/>
      </c>
      <c r="Q5" s="12" t="str">
        <f>IF(OR(ISBLANK(MH0l!P6),ISERROR(MH0l!P6)),"",MH0l!P6)</f>
        <v/>
      </c>
      <c r="R5" s="12" t="str">
        <f>IF(OR(ISBLANK(MH0l!Q6),ISERROR(MH0l!Q6)),"",MH0l!Q6)</f>
        <v/>
      </c>
      <c r="S5" s="12" t="str">
        <f>IF(OR(ISBLANK(MH0l!R6),ISERROR(MH0l!R6)),"",MH0l!R6)</f>
        <v/>
      </c>
    </row>
    <row r="6" spans="1:20" ht="12.75" customHeight="1" x14ac:dyDescent="0.2">
      <c r="A6" s="15" t="str">
        <f>IF(OR(ISBLANK(MH0l!A7),ISERROR(MH0l!A7)),"",MH0l!A7)</f>
        <v/>
      </c>
      <c r="B6" s="16" t="str">
        <f>IF(OR(ISBLANK(MH0l!B7),ISERROR(MH0l!B7)),"",MH0l!B7)</f>
        <v/>
      </c>
      <c r="C6" s="11" t="str">
        <f>IF(OR(ISBLANK(MH0l!#REF!),ISERROR(MH0l!#REF!)),"",MH0l!#REF!)</f>
        <v/>
      </c>
      <c r="D6" s="17" t="str">
        <f>IF(OR(ISBLANK(MH0l!D7),ISERROR(MH0l!D7)),"",MH0l!D7)</f>
        <v/>
      </c>
      <c r="E6" s="17" t="str">
        <f>IF(OR(ISBLANK(MH0l!E7),ISERROR(MH0l!E7)),"",MH0l!E7)</f>
        <v/>
      </c>
      <c r="F6" s="323"/>
      <c r="G6" s="12" t="str">
        <f>IF(OR(ISBLANK(MH0l!F7),ISERROR(MH0l!F7)),"",MH0l!F7)</f>
        <v/>
      </c>
      <c r="H6" s="12" t="str">
        <f>IF(OR(ISBLANK(MH0l!G7),ISERROR(MH0l!G7)),"",MH0l!G7)</f>
        <v/>
      </c>
      <c r="I6" s="18"/>
      <c r="J6" s="19"/>
      <c r="K6" s="14"/>
      <c r="L6" s="14"/>
      <c r="M6" s="14"/>
      <c r="N6" s="14"/>
      <c r="R6" s="12" t="str">
        <f>IF(OR(ISBLANK(MH0l!Q7),ISERROR(MH0l!Q7)),"",MH0l!Q7)</f>
        <v/>
      </c>
      <c r="S6" s="12" t="str">
        <f>IF(OR(ISBLANK(MH0l!R7),ISERROR(MH0l!R7)),"",MH0l!R7)</f>
        <v/>
      </c>
    </row>
    <row r="7" spans="1:20" x14ac:dyDescent="0.2">
      <c r="A7" s="12" t="str">
        <f>IF(OR(ISBLANK(MH0l!A8),ISERROR(MH0l!A8)),"",MH0l!A8)</f>
        <v/>
      </c>
      <c r="B7" s="20" t="str">
        <f>IF(OR(ISBLANK(MH0l!B8),ISERROR(MH0l!B8)),"",MH0l!B8)</f>
        <v/>
      </c>
      <c r="C7" s="11" t="str">
        <f>IF(OR(ISBLANK(MH0l!C8),ISERROR(MH0l!C8)),"",MH0l!C8)</f>
        <v/>
      </c>
      <c r="D7" s="21" t="str">
        <f>IF(OR(ISBLANK(MH0l!D8),ISERROR(MH0l!D8)),"",MH0l!D8)</f>
        <v>n</v>
      </c>
      <c r="E7" s="22">
        <v>84</v>
      </c>
      <c r="F7" s="22"/>
      <c r="G7" s="12" t="str">
        <f>IF(OR(ISBLANK(MH0l!F8),ISERROR(MH0l!F8)),"",MH0l!F8)</f>
        <v/>
      </c>
      <c r="H7" s="12" t="str">
        <f>IF(OR(ISBLANK(MH0l!G8),ISERROR(MH0l!G8)),"",MH0l!G8)</f>
        <v/>
      </c>
      <c r="I7" s="14" t="str">
        <f>IF(OR(ISBLANK(MH0l!H8),ISERROR(MH0l!H8)),"",MH0l!H8)</f>
        <v/>
      </c>
      <c r="J7" s="18"/>
      <c r="K7" s="18"/>
      <c r="L7" s="23"/>
      <c r="M7" s="18"/>
      <c r="N7" s="18"/>
    </row>
    <row r="8" spans="1:20" x14ac:dyDescent="0.2">
      <c r="A8" s="12" t="str">
        <f>IF(OR(ISBLANK(MH0l!A9),ISERROR(MH0l!A9)),"",MH0l!A9)</f>
        <v/>
      </c>
      <c r="B8" s="20" t="str">
        <f>IF(OR(ISBLANK(MH0l!B9),ISERROR(MH0l!B9)),"",MH0l!B9)</f>
        <v/>
      </c>
      <c r="C8" s="11" t="str">
        <f>IF(OR(ISBLANK(MH0l!C9),ISERROR(MH0l!C9)),"",MH0l!C9)</f>
        <v/>
      </c>
      <c r="D8" s="21" t="str">
        <f>IF(OR(ISBLANK(MH0l!D9),ISERROR(MH0l!D9)),"",MH0l!D9)</f>
        <v>x</v>
      </c>
      <c r="E8" s="22">
        <v>10</v>
      </c>
      <c r="F8" s="22"/>
      <c r="G8" s="12" t="str">
        <f>IF(OR(ISBLANK(MH0l!F9),ISERROR(MH0l!F9)),"",MH0l!F9)</f>
        <v/>
      </c>
      <c r="H8" s="12" t="str">
        <f>IF(OR(ISBLANK(MH0l!G9),ISERROR(MH0l!G9)),"",MH0l!G9)</f>
        <v/>
      </c>
      <c r="I8" s="14" t="str">
        <f>IF(OR(ISBLANK(MH0l!H9),ISERROR(MH0l!H9)),"",MH0l!H9)</f>
        <v/>
      </c>
      <c r="J8" s="14"/>
      <c r="K8" s="14"/>
      <c r="L8" s="24"/>
      <c r="M8" s="25"/>
      <c r="N8" s="26"/>
      <c r="S8" s="27">
        <f>IF(OR(ISBLANK(MH0l!R9),ISERROR(MH0l!R9)),"",MH0l!R9)</f>
        <v>1</v>
      </c>
    </row>
    <row r="9" spans="1:20" x14ac:dyDescent="0.2">
      <c r="A9" s="12" t="str">
        <f>IF(OR(ISBLANK(MH0l!A10),ISERROR(MH0l!A10)),"",MH0l!A10)</f>
        <v/>
      </c>
      <c r="B9" s="20" t="str">
        <f>IF(OR(ISBLANK(MH0l!B10),ISERROR(MH0l!B10)),"",MH0l!B10)</f>
        <v/>
      </c>
      <c r="C9" s="11" t="str">
        <f>IF(OR(ISBLANK(MH0l!C10),ISERROR(MH0l!C10)),"",MH0l!C10)</f>
        <v/>
      </c>
      <c r="D9" s="28" t="str">
        <f>IF(OR(ISBLANK(MH0l!D10),ISERROR(MH0l!D10)),"",MH0l!D10)</f>
        <v>n-x</v>
      </c>
      <c r="E9" s="21">
        <f>MH0l!E10</f>
        <v>74</v>
      </c>
      <c r="F9" s="21"/>
      <c r="G9" s="12" t="str">
        <f>IF(OR(ISBLANK(MH0l!F10),ISERROR(MH0l!F10)),"",MH0l!F10)</f>
        <v/>
      </c>
      <c r="H9" s="12" t="str">
        <f>IF(OR(ISBLANK(MH0l!G10),ISERROR(MH0l!G10)),"",MH0l!G10)</f>
        <v/>
      </c>
      <c r="I9" s="14" t="str">
        <f>IF(OR(ISBLANK(MH0l!H10),ISERROR(MH0l!H10)),"",MH0l!H10)</f>
        <v/>
      </c>
      <c r="J9" s="24" t="str">
        <f>IF(OR(ISBLANK(MH0l!I10),ISERROR(MH0l!I10)),"",MH0l!I10)</f>
        <v/>
      </c>
      <c r="K9" s="25" t="str">
        <f>IF(OR(ISBLANK(MH0l!J10),ISERROR(MH0l!J10)),"",MH0l!J10)</f>
        <v/>
      </c>
      <c r="L9" s="26" t="str">
        <f>IF(OR(ISBLANK(MH0l!K10),ISERROR(MH0l!K10)),"",MH0l!K10)</f>
        <v/>
      </c>
      <c r="M9" s="26" t="str">
        <f>IF(OR(ISBLANK(MH0l!L10),ISERROR(MH0l!L10)),"",MH0l!L10)</f>
        <v/>
      </c>
      <c r="N9" s="14" t="str">
        <f>IF(OR(ISBLANK(MH0l!M10),ISERROR(MH0l!M10)),"",MH0l!M10)</f>
        <v/>
      </c>
      <c r="T9" s="29"/>
    </row>
    <row r="10" spans="1:20" ht="3.75" customHeight="1" x14ac:dyDescent="0.2">
      <c r="A10" s="12" t="str">
        <f>IF(OR(ISBLANK(MH0l!A11),ISERROR(MH0l!A11)),"",MH0l!A11)</f>
        <v/>
      </c>
      <c r="B10" s="20" t="str">
        <f>IF(OR(ISBLANK(MH0l!B11),ISERROR(MH0l!B11)),"",MH0l!B11)</f>
        <v/>
      </c>
      <c r="C10" s="11" t="str">
        <f>IF(OR(ISBLANK(MH0l!C11),ISERROR(MH0l!C11)),"",MH0l!C11)</f>
        <v/>
      </c>
      <c r="D10" s="12" t="str">
        <f>IF(OR(ISBLANK(MH0l!D11),ISERROR(MH0l!D11)),"",MH0l!D11)</f>
        <v/>
      </c>
      <c r="E10" s="12" t="str">
        <f>IF(OR(ISBLANK(MH0l!E11),ISERROR(MH0l!E11)),"",MH0l!E11)</f>
        <v/>
      </c>
      <c r="G10" s="15" t="str">
        <f>IF(OR(ISBLANK(MH0l!F11),ISERROR(MH0l!F11)),"",MH0l!F11)</f>
        <v/>
      </c>
      <c r="H10" s="12" t="str">
        <f>IF(OR(ISBLANK(MH0l!G11),ISERROR(MH0l!G11)),"",MH0l!G11)</f>
        <v/>
      </c>
      <c r="I10" s="14" t="str">
        <f>IF(OR(ISBLANK(MH0l!H11),ISERROR(MH0l!H11)),"",MH0l!H11)</f>
        <v/>
      </c>
      <c r="J10" s="12" t="str">
        <f>IF(OR(ISBLANK(MH0l!I11),ISERROR(MH0l!I11)),"",MH0l!I11)</f>
        <v/>
      </c>
      <c r="K10" s="12" t="str">
        <f>IF(OR(ISBLANK(MH0l!J11),ISERROR(MH0l!J11)),"",MH0l!J11)</f>
        <v/>
      </c>
      <c r="L10" s="12" t="str">
        <f>IF(OR(ISBLANK(MH0l!K11),ISERROR(MH0l!K11)),"",MH0l!K11)</f>
        <v/>
      </c>
      <c r="M10" s="12" t="str">
        <f>IF(OR(ISBLANK(MH0l!L11),ISERROR(MH0l!L11)),"",MH0l!L11)</f>
        <v/>
      </c>
      <c r="N10" s="12" t="str">
        <f>IF(OR(ISBLANK(MH0l!M11),ISERROR(MH0l!M11)),"",MH0l!M11)</f>
        <v/>
      </c>
      <c r="R10" s="12" t="str">
        <f>IF(OR(ISBLANK(MH0l!Q11),ISERROR(MH0l!Q11)),"",MH0l!Q11)</f>
        <v/>
      </c>
      <c r="T10" s="30"/>
    </row>
    <row r="11" spans="1:20" x14ac:dyDescent="0.2">
      <c r="A11" s="12" t="str">
        <f>IF(OR(ISBLANK(MH0l!A12),ISERROR(MH0l!A12)),"",MH0l!A12)</f>
        <v/>
      </c>
      <c r="B11" s="20" t="str">
        <f>IF(OR(ISBLANK(MH0l!B12),ISERROR(MH0l!B12)),"",MH0l!B12)</f>
        <v/>
      </c>
      <c r="C11" s="11" t="str">
        <f>IF(OR(ISBLANK(MH0l!C12),ISERROR(MH0l!C12)),"",MH0l!C12)</f>
        <v/>
      </c>
      <c r="D11" s="21" t="str">
        <f>IF(OR(ISBLANK(MH0l!D12),ISERROR(MH0l!D12)),"",MH0l!D12)</f>
        <v>Confianza (%)</v>
      </c>
      <c r="E11" s="511">
        <v>0.95</v>
      </c>
      <c r="F11" s="31"/>
      <c r="G11" s="32" t="str">
        <f>IF(OR(ISBLANK(MH0l!G12),ISERROR(MH0l!G12)),"",MH0l!G12)</f>
        <v/>
      </c>
      <c r="I11" s="14"/>
      <c r="K11" s="12" t="str">
        <f>IF(OR(ISBLANK(MH0l!J12),ISERROR(MH0l!J12)),"",MH0l!J12)</f>
        <v/>
      </c>
      <c r="L11" s="29" t="str">
        <f>IF(OR(ISBLANK(MH0l!K12),ISERROR(MH0l!K12)),"",MH0l!K12)</f>
        <v/>
      </c>
      <c r="M11" s="12" t="str">
        <f>IF(OR(ISBLANK(MH0l!L12),ISERROR(MH0l!L12)),"",MH0l!L12)</f>
        <v/>
      </c>
      <c r="N11" s="12" t="str">
        <f>IF(OR(ISBLANK(MH0l!M12),ISERROR(MH0l!M12)),"",MH0l!M12)</f>
        <v/>
      </c>
      <c r="R11" s="12" t="str">
        <f>IF(OR(ISBLANK(MH0l!Q12),ISERROR(MH0l!Q12)),"",MH0l!Q12)</f>
        <v/>
      </c>
      <c r="T11" s="30"/>
    </row>
    <row r="12" spans="1:20" x14ac:dyDescent="0.2">
      <c r="A12" s="12" t="str">
        <f>IF(OR(ISBLANK(MH0l!A13),ISERROR(MH0l!A13)),"",MH0l!A13)</f>
        <v/>
      </c>
      <c r="B12" s="20" t="str">
        <f>IF(OR(ISBLANK(MH0l!B13),ISERROR(MH0l!B13)),"",MH0l!B13)</f>
        <v/>
      </c>
      <c r="C12" s="11" t="str">
        <f>IF(OR(ISBLANK(MH0l!C13),ISERROR(MH0l!C13)),"",MH0l!C13)</f>
        <v/>
      </c>
      <c r="D12" s="512" t="s">
        <v>237</v>
      </c>
      <c r="E12" s="513">
        <f>IF(OR(ISBLANK(MH0l!E13),ISERROR(MH0l!E13)),"",MH0l!E13)</f>
        <v>1.9599639845400536</v>
      </c>
      <c r="F12" s="236"/>
      <c r="G12" s="12" t="str">
        <f>IF(OR(ISBLANK(MH0l!F13),ISERROR(MH0l!F13)),"",MH0l!F13)</f>
        <v/>
      </c>
      <c r="H12" s="12" t="str">
        <f>IF(OR(ISBLANK(MH0l!G13),ISERROR(MH0l!G13)),"",MH0l!G13)</f>
        <v/>
      </c>
      <c r="I12" s="14" t="str">
        <f>IF(OR(ISBLANK(MH0l!H13),ISERROR(MH0l!H13)),"",MH0l!H13)</f>
        <v/>
      </c>
      <c r="J12" s="12" t="str">
        <f>IF(OR(ISBLANK(MH0l!I13),ISERROR(MH0l!I13)),"",MH0l!I13)</f>
        <v/>
      </c>
      <c r="K12" s="12" t="str">
        <f>IF(OR(ISBLANK(MH0l!J13),ISERROR(MH0l!J13)),"",MH0l!J13)</f>
        <v/>
      </c>
      <c r="L12" s="29" t="str">
        <f>IF(OR(ISBLANK(MH0l!K13),ISERROR(MH0l!K13)),"",MH0l!K13)</f>
        <v/>
      </c>
      <c r="M12" s="12" t="str">
        <f>IF(OR(ISBLANK(MH0l!L13),ISERROR(MH0l!L13)),"",MH0l!L13)</f>
        <v/>
      </c>
      <c r="N12" s="12" t="str">
        <f>IF(OR(ISBLANK(MH0l!M13),ISERROR(MH0l!M13)),"",MH0l!M13)</f>
        <v/>
      </c>
      <c r="O12" s="12" t="str">
        <f>IF(OR(ISBLANK(MH0l!N13),ISERROR(MH0l!N13)),"",MH0l!N13)</f>
        <v/>
      </c>
      <c r="P12" s="12" t="str">
        <f>IF(OR(ISBLANK(MH0l!O13),ISERROR(MH0l!O13)),"",MH0l!O13)</f>
        <v/>
      </c>
      <c r="Q12" s="12" t="str">
        <f>IF(OR(ISBLANK(MH0l!P13),ISERROR(MH0l!P13)),"",MH0l!P13)</f>
        <v/>
      </c>
      <c r="R12" s="12" t="str">
        <f>IF(OR(ISBLANK(MH0l!Q13),ISERROR(MH0l!Q13)),"",MH0l!Q13)</f>
        <v/>
      </c>
    </row>
    <row r="13" spans="1:20" x14ac:dyDescent="0.2">
      <c r="E13" s="37"/>
      <c r="F13" s="37"/>
      <c r="G13" s="37"/>
      <c r="H13" s="37"/>
      <c r="I13" s="14"/>
      <c r="L13" s="29"/>
    </row>
    <row r="14" spans="1:20" x14ac:dyDescent="0.2">
      <c r="A14" s="12" t="str">
        <f>IF(OR(ISBLANK(MH0l!A16),ISERROR(MH0l!A16)),"",MH0l!A16)</f>
        <v/>
      </c>
      <c r="B14" s="20" t="str">
        <f>IF(OR(ISBLANK(MH0l!B16),ISERROR(MH0l!B16)),"",MH0l!B16)</f>
        <v/>
      </c>
      <c r="C14" s="34" t="str">
        <f>IF(OR(ISBLANK(MH0l!C16),ISERROR(MH0l!C16)),"",MH0l!C16)</f>
        <v/>
      </c>
      <c r="D14" s="37" t="str">
        <f>IF(OR(ISBLANK(MH0l!D16),ISERROR(MH0l!D16)),"",MH0l!D16)</f>
        <v/>
      </c>
      <c r="E14" s="37" t="str">
        <f>IF(OR(ISBLANK(MH0l!E16),ISERROR(MH0l!E16)),"",MH0l!E16)</f>
        <v/>
      </c>
      <c r="F14" s="37"/>
      <c r="G14" s="37" t="str">
        <f>IF(OR(ISBLANK(MH0l!F16),ISERROR(MH0l!F16)),"",MH0l!F16)</f>
        <v/>
      </c>
      <c r="H14" s="37" t="str">
        <f>IF(OR(ISBLANK(MH0l!G16),ISERROR(MH0l!G16)),"",MH0l!G16)</f>
        <v/>
      </c>
      <c r="I14" s="38" t="str">
        <f>IF(OR(ISBLANK(MH0l!H16),ISERROR(MH0l!H16)),"",MH0l!H16)</f>
        <v/>
      </c>
      <c r="J14" s="39" t="str">
        <f>IF(OR(ISBLANK(MH0l!I16),ISERROR(MH0l!I16)),"",MH0l!I16)</f>
        <v/>
      </c>
      <c r="K14" s="40" t="str">
        <f>IF(OR(ISBLANK(MH0l!J16),ISERROR(MH0l!J16)),"",MH0l!J16)</f>
        <v/>
      </c>
      <c r="L14" s="29" t="str">
        <f>IF(OR(ISBLANK(MH0l!K16),ISERROR(MH0l!K16)),"",MH0l!K16)</f>
        <v/>
      </c>
      <c r="M14" s="12" t="str">
        <f>IF(OR(ISBLANK(MH0l!L16),ISERROR(MH0l!L16)),"",MH0l!L16)</f>
        <v/>
      </c>
      <c r="Q14" s="12" t="str">
        <f>IF(OR(ISBLANK(MH0l!P16),ISERROR(MH0l!P16)),"",MH0l!P16)</f>
        <v/>
      </c>
      <c r="R14" s="12" t="str">
        <f>IF(OR(ISBLANK(MH0l!Q16),ISERROR(MH0l!Q16)),"",MH0l!Q16)</f>
        <v/>
      </c>
      <c r="S14" s="12" t="str">
        <f>IF(OR(ISBLANK(MH0l!R16),ISERROR(MH0l!R16)),"",MH0l!R16)</f>
        <v/>
      </c>
    </row>
    <row r="15" spans="1:20" ht="12" customHeight="1" thickBot="1" x14ac:dyDescent="0.25">
      <c r="A15" s="15" t="str">
        <f>IF(OR(ISBLANK(MH0l!A17),ISERROR(MH0l!A17)),"",MH0l!A17)</f>
        <v/>
      </c>
      <c r="B15" s="451">
        <f>IF(OR(ISBLANK(MH0l!B17),ISERROR(MH0l!B17)),"",MH0l!B17)</f>
        <v>2</v>
      </c>
      <c r="C15" s="42" t="str">
        <f>IF(OR(ISBLANK(MH0l!C17),ISERROR(MH0l!C17)),"",MH0l!C17)</f>
        <v>Estimaciones puntuales</v>
      </c>
      <c r="D15" s="13"/>
      <c r="E15" s="13"/>
      <c r="F15" s="13"/>
      <c r="G15" s="13" t="str">
        <f>IF(OR(ISBLANK(MH0l!F17),ISERROR(MH0l!F17)),"",MH0l!F17)</f>
        <v/>
      </c>
      <c r="H15" s="43" t="str">
        <f>IF(OR(ISBLANK(MH0l!G17),ISERROR(MH0l!G17)),"",MH0l!G17)</f>
        <v/>
      </c>
      <c r="I15" s="38" t="str">
        <f>IF(OR(ISBLANK(MH0l!H17),ISERROR(MH0l!H17)),"",MH0l!H17)</f>
        <v/>
      </c>
      <c r="J15" s="29" t="str">
        <f>IF(OR(ISBLANK(MH0l!I17),ISERROR(MH0l!I17)),"",MH0l!I17)</f>
        <v/>
      </c>
      <c r="K15" s="40"/>
      <c r="L15" s="29" t="str">
        <f>IF(OR(ISBLANK(MH0l!K17),ISERROR(MH0l!K17)),"",MH0l!K17)</f>
        <v/>
      </c>
      <c r="M15" s="12" t="str">
        <f>IF(OR(ISBLANK(MH0l!L17),ISERROR(MH0l!L17)),"",MH0l!L17)</f>
        <v/>
      </c>
      <c r="N15" s="12" t="str">
        <f>IF(OR(ISBLANK(MH0l!M17),ISERROR(MH0l!M17)),"",MH0l!M17)</f>
        <v/>
      </c>
      <c r="O15" s="12" t="str">
        <f>IF(OR(ISBLANK(MH0l!N17),ISERROR(MH0l!N17)),"",MH0l!N17)</f>
        <v/>
      </c>
      <c r="P15" s="12" t="str">
        <f>IF(OR(ISBLANK(MH0l!O17),ISERROR(MH0l!O17)),"",MH0l!O17)</f>
        <v/>
      </c>
    </row>
    <row r="16" spans="1:20" x14ac:dyDescent="0.2">
      <c r="A16" s="12" t="str">
        <f>IF(OR(ISBLANK(MH0l!A18),ISERROR(MH0l!A18)),"",MH0l!A18)</f>
        <v/>
      </c>
      <c r="B16" s="20" t="str">
        <f>IF(OR(ISBLANK(MH0l!B18),ISERROR(MH0l!B18)),"",MH0l!B18)</f>
        <v/>
      </c>
      <c r="C16" s="11" t="str">
        <f>IF(OR(ISBLANK(MH0l!C18),ISERROR(MH0l!C18)),"",MH0l!C18)</f>
        <v/>
      </c>
      <c r="D16" s="28" t="str">
        <f>IF(OR(ISBLANK(MH0l!D18),ISERROR(MH0l!D18)),"",MH0l!D18)</f>
        <v>p</v>
      </c>
      <c r="E16" s="45">
        <f>IF(OR(ISBLANK(MH0l!E18),ISERROR(MH0l!E18)),"",MH0l!E18)</f>
        <v>0.11904761904761904</v>
      </c>
      <c r="F16" s="45"/>
      <c r="G16" s="46">
        <f>IF(OR(ISBLANK(MH0l!F18),ISERROR(MH0l!F18)),"",MH0l!F18)</f>
        <v>0.11904761904761904</v>
      </c>
      <c r="H16" s="47" t="str">
        <f>IF(OR(ISBLANK(MH0l!G18),ISERROR(MH0l!G18)),"",MH0l!G18)</f>
        <v/>
      </c>
      <c r="I16" s="38" t="str">
        <f>IF(OR(ISBLANK(MH0l!H18),ISERROR(MH0l!H18)),"",MH0l!H18)</f>
        <v/>
      </c>
      <c r="J16" s="29" t="str">
        <f>IF(OR(ISBLANK(MH0l!I18),ISERROR(MH0l!I18)),"",MH0l!I18)</f>
        <v/>
      </c>
      <c r="K16" s="29"/>
      <c r="L16" s="29" t="str">
        <f>IF(OR(ISBLANK(MH0l!K18),ISERROR(MH0l!K18)),"",MH0l!K18)</f>
        <v/>
      </c>
      <c r="M16" s="12" t="str">
        <f>IF(OR(ISBLANK(MH0l!L18),ISERROR(MH0l!L18)),"",MH0l!L18)</f>
        <v/>
      </c>
      <c r="N16" s="12" t="str">
        <f>IF(OR(ISBLANK(MH0l!M18),ISERROR(MH0l!M18)),"",MH0l!M18)</f>
        <v/>
      </c>
      <c r="O16" s="12" t="str">
        <f>IF(OR(ISBLANK(MH0l!N18),ISERROR(MH0l!N18)),"",MH0l!N18)</f>
        <v/>
      </c>
      <c r="P16" s="12" t="str">
        <f>IF(OR(ISBLANK(MH0l!O18),ISERROR(MH0l!O18)),"",MH0l!O18)</f>
        <v/>
      </c>
    </row>
    <row r="17" spans="1:17" x14ac:dyDescent="0.2">
      <c r="A17" s="12" t="str">
        <f>IF(OR(ISBLANK(MH0l!A19),ISERROR(MH0l!A19)),"",MH0l!A19)</f>
        <v/>
      </c>
      <c r="B17" s="20" t="str">
        <f>IF(OR(ISBLANK(MH0l!B19),ISERROR(MH0l!B19)),"",MH0l!B19)</f>
        <v/>
      </c>
      <c r="C17" s="11" t="str">
        <f>IF(OR(ISBLANK(MH0l!C19),ISERROR(MH0l!C19)),"",MH0l!C19)</f>
        <v/>
      </c>
      <c r="D17" s="48" t="str">
        <f>IF(OR(ISBLANK(MH0l!D19),ISERROR(MH0l!D19)),"",MH0l!D19)</f>
        <v>q</v>
      </c>
      <c r="E17" s="49">
        <f>IF(OR(ISBLANK(MH0l!E19),ISERROR(MH0l!E19)),"",MH0l!E19)</f>
        <v>0.88095238095238093</v>
      </c>
      <c r="F17" s="49"/>
      <c r="G17" s="50">
        <f>IF(OR(ISBLANK(MH0l!F19),ISERROR(MH0l!F19)),"",MH0l!F19)</f>
        <v>0.88095238095238093</v>
      </c>
      <c r="H17" s="51" t="str">
        <f>IF(OR(ISBLANK(MH0l!G19),ISERROR(MH0l!G19)),"",MH0l!G19)</f>
        <v/>
      </c>
      <c r="I17" s="38" t="str">
        <f>IF(OR(ISBLANK(MH0l!H19),ISERROR(MH0l!H19)),"",MH0l!H19)</f>
        <v/>
      </c>
      <c r="K17" s="29"/>
      <c r="L17" s="29" t="str">
        <f>IF(OR(ISBLANK(MH0l!K19),ISERROR(MH0l!K19)),"",MH0l!K19)</f>
        <v/>
      </c>
      <c r="M17" s="12" t="str">
        <f>IF(OR(ISBLANK(MH0l!L19),ISERROR(MH0l!L19)),"",MH0l!L19)</f>
        <v/>
      </c>
      <c r="N17" s="12" t="str">
        <f>IF(OR(ISBLANK(MH0l!M19),ISERROR(MH0l!M19)),"",MH0l!M19)</f>
        <v/>
      </c>
      <c r="O17" s="12" t="str">
        <f>IF(OR(ISBLANK(MH0l!N19),ISERROR(MH0l!N19)),"",MH0l!N19)</f>
        <v/>
      </c>
      <c r="P17" s="12" t="str">
        <f>IF(OR(ISBLANK(MH0l!O19),ISERROR(MH0l!O19)),"",MH0l!O19)</f>
        <v/>
      </c>
      <c r="Q17" s="12" t="str">
        <f>IF(OR(ISBLANK(MH0l!P19),ISERROR(MH0l!P19)),"",MH0l!P19)</f>
        <v/>
      </c>
    </row>
    <row r="18" spans="1:17" x14ac:dyDescent="0.2">
      <c r="A18" s="12" t="str">
        <f>IF(OR(ISBLANK(MH0l!A20),ISERROR(MH0l!A20)),"",MH0l!A20)</f>
        <v/>
      </c>
      <c r="B18" s="20" t="str">
        <f>IF(OR(ISBLANK(MH0l!B20),ISERROR(MH0l!B20)),"",MH0l!B20)</f>
        <v/>
      </c>
      <c r="C18" s="34" t="str">
        <f>IF(OR(ISBLANK(MH0l!C20),ISERROR(MH0l!C20)),"",MH0l!C20)</f>
        <v/>
      </c>
      <c r="D18" s="53" t="str">
        <f>IF(OR(ISBLANK(MH0l!D20),ISERROR(MH0l!D20)),"",MH0l!D20)</f>
        <v/>
      </c>
      <c r="E18" s="54" t="str">
        <f>IF(OR(ISBLANK(MH0l!E20),ISERROR(MH0l!E20)),"",MH0l!E20)</f>
        <v/>
      </c>
      <c r="F18" s="54"/>
      <c r="G18" s="12" t="str">
        <f>IF(OR(ISBLANK(MH0l!F20),ISERROR(MH0l!F20)),"",MH0l!F20)</f>
        <v/>
      </c>
      <c r="H18" s="47" t="str">
        <f>IF(OR(ISBLANK(MH0l!G20),ISERROR(MH0l!G20)),"",MH0l!G20)</f>
        <v/>
      </c>
      <c r="I18" s="38" t="str">
        <f>IF(OR(ISBLANK(MH0l!H20),ISERROR(MH0l!H20)),"",MH0l!H20)</f>
        <v/>
      </c>
      <c r="J18" s="39" t="str">
        <f>IF(OR(ISBLANK(MH0l!I20),ISERROR(MH0l!I20)),"",MH0l!I20)</f>
        <v/>
      </c>
      <c r="K18" s="40" t="str">
        <f>IF(OR(ISBLANK(MH0l!J20),ISERROR(MH0l!J20)),"",MH0l!J20)</f>
        <v/>
      </c>
      <c r="L18" s="29" t="str">
        <f>IF(OR(ISBLANK(MH0l!K20),ISERROR(MH0l!K20)),"",MH0l!K20)</f>
        <v/>
      </c>
      <c r="M18" s="206" t="s">
        <v>9</v>
      </c>
      <c r="N18" s="173" t="s">
        <v>235</v>
      </c>
      <c r="Q18" s="12" t="str">
        <f>IF(OR(ISBLANK(MH0l!P20),ISERROR(MH0l!P20)),"",MH0l!P20)</f>
        <v/>
      </c>
    </row>
    <row r="19" spans="1:17" ht="13.5" thickBot="1" x14ac:dyDescent="0.25">
      <c r="A19" s="12" t="str">
        <f>IF(OR(ISBLANK(MH0l!A21),ISERROR(MH0l!A21)),"",MH0l!A21)</f>
        <v/>
      </c>
      <c r="B19" s="451">
        <f>IF(OR(ISBLANK(MH0l!B21),ISERROR(MH0l!B21)),"",MH0l!B21)</f>
        <v>3</v>
      </c>
      <c r="C19" s="55" t="str">
        <f>IF(OR(ISBLANK(MH0l!C21),ISERROR(MH0l!C21)),"",MH0l!C21)</f>
        <v>Intervalo de confianza y tamaño de muestra</v>
      </c>
      <c r="D19" s="56"/>
      <c r="E19" s="57"/>
      <c r="F19" s="57"/>
      <c r="G19" s="13"/>
      <c r="H19" s="58"/>
      <c r="I19" s="44" t="str">
        <f>IF(OR(ISBLANK(MH0l!H21),ISERROR(MH0l!H21)),"",MH0l!H21)</f>
        <v/>
      </c>
      <c r="J19" s="13" t="str">
        <f>IF(OR(ISBLANK(MH0l!I21),ISERROR(MH0l!I21)),"",MH0l!I21)</f>
        <v/>
      </c>
      <c r="K19" s="13" t="str">
        <f>IF(OR(ISBLANK(MH0l!J21),ISERROR(MH0l!J21)),"",MH0l!J21)</f>
        <v/>
      </c>
      <c r="L19" s="13" t="str">
        <f>IF(OR(ISBLANK(MH0l!K21),ISERROR(MH0l!K21)),"",MH0l!K21)</f>
        <v/>
      </c>
      <c r="M19" s="12" t="str">
        <f>IF(OR(ISBLANK(MH0l!L21),ISERROR(MH0l!L21)),"",MH0l!L21)</f>
        <v/>
      </c>
      <c r="N19" s="388" t="s">
        <v>178</v>
      </c>
      <c r="O19" s="369">
        <v>3</v>
      </c>
      <c r="P19" s="13"/>
      <c r="Q19" s="385">
        <f>10^O19</f>
        <v>1000</v>
      </c>
    </row>
    <row r="20" spans="1:17" ht="5.25" customHeight="1" x14ac:dyDescent="0.2">
      <c r="A20" s="12" t="str">
        <f>IF(OR(ISBLANK(MH0l!A22),ISERROR(MH0l!A22)),"",MH0l!A22)</f>
        <v/>
      </c>
      <c r="B20" s="10" t="str">
        <f>IF(OR(ISBLANK(MH0l!B22),ISERROR(MH0l!B22)),"",MH0l!B22)</f>
        <v/>
      </c>
      <c r="C20" s="34" t="str">
        <f>IF(OR(ISBLANK(MH0l!C22),ISERROR(MH0l!C22)),"",MH0l!C22)</f>
        <v/>
      </c>
      <c r="D20" s="53"/>
      <c r="E20" s="54" t="str">
        <f>IF(OR(ISBLANK(MH0l!E22),ISERROR(MH0l!E22)),"",MH0l!E22)</f>
        <v/>
      </c>
      <c r="F20" s="54"/>
      <c r="G20" s="12" t="str">
        <f>IF(OR(ISBLANK(MH0l!F22),ISERROR(MH0l!F22)),"",MH0l!F22)</f>
        <v/>
      </c>
      <c r="H20" s="47" t="str">
        <f>IF(OR(ISBLANK(MH0l!G22),ISERROR(MH0l!G22)),"",MH0l!G22)</f>
        <v/>
      </c>
      <c r="I20" s="38" t="str">
        <f>IF(OR(ISBLANK(MH0l!H22),ISERROR(MH0l!H22)),"",MH0l!H22)</f>
        <v/>
      </c>
      <c r="J20" s="12" t="str">
        <f>IF(OR(ISBLANK(MH0l!I22),ISERROR(MH0l!I22)),"",MH0l!I22)</f>
        <v/>
      </c>
      <c r="K20" s="12" t="str">
        <f>IF(OR(ISBLANK(MH0l!J22),ISERROR(MH0l!J22)),"",MH0l!J22)</f>
        <v/>
      </c>
      <c r="L20" s="12" t="str">
        <f>IF(OR(ISBLANK(MH0l!K22),ISERROR(MH0l!K22)),"",MH0l!K22)</f>
        <v/>
      </c>
      <c r="M20" s="12" t="str">
        <f>IF(OR(ISBLANK(MH0l!L22),ISERROR(MH0l!L22)),"",MH0l!L22)</f>
        <v/>
      </c>
      <c r="N20" s="12" t="str">
        <f>IF(OR(ISBLANK(MH0l!M22),ISERROR(MH0l!M22)),"",MH0l!M22)</f>
        <v/>
      </c>
      <c r="P20" s="12" t="str">
        <f>IF(OR(ISBLANK(MH0l!O22),ISERROR(MH0l!O22)),"",MH0l!O22)</f>
        <v/>
      </c>
      <c r="Q20" s="12" t="str">
        <f>IF(OR(ISBLANK(MH0l!P22),ISERROR(MH0l!P22)),"",MH0l!P22)</f>
        <v/>
      </c>
    </row>
    <row r="21" spans="1:17" ht="15" customHeight="1" x14ac:dyDescent="0.2">
      <c r="A21" s="59" t="str">
        <f>IF(OR(ISBLANK(MH0l!A24),ISERROR(MH0l!A24)),"",MH0l!A24)</f>
        <v/>
      </c>
      <c r="B21" s="10" t="str">
        <f>IF(OR(ISBLANK(MH0l!B24),ISERROR(MH0l!B24)),"",MH0l!B24)</f>
        <v/>
      </c>
      <c r="C21" s="34"/>
      <c r="D21" s="14"/>
      <c r="E21" s="14"/>
      <c r="F21" s="14"/>
      <c r="G21" s="200"/>
      <c r="H21" s="203"/>
      <c r="I21" s="204"/>
      <c r="J21" s="490" t="s">
        <v>93</v>
      </c>
      <c r="K21" s="490"/>
      <c r="L21" s="490"/>
      <c r="M21" s="14"/>
      <c r="N21" s="364" t="s">
        <v>177</v>
      </c>
      <c r="O21" s="387">
        <f>$E$16*$Q$19</f>
        <v>119.04761904761904</v>
      </c>
      <c r="P21" s="386" t="str">
        <f>IF(O19&gt;0,"por "&amp;Q19,"")</f>
        <v>por 1000</v>
      </c>
      <c r="Q21" s="68"/>
    </row>
    <row r="22" spans="1:17" x14ac:dyDescent="0.2">
      <c r="A22" s="15" t="str">
        <f>IF(OR(ISBLANK(MH0l!A25),ISERROR(MH0l!A25)),"",MH0l!A25)</f>
        <v/>
      </c>
      <c r="B22" s="41" t="str">
        <f>IF(OR(ISBLANK(MH0l!B25),ISERROR(MH0l!B25)),"",MH0l!B25)</f>
        <v/>
      </c>
      <c r="C22" s="209" t="s">
        <v>26</v>
      </c>
      <c r="D22" s="211" t="str">
        <f>IF(OR(ISBLANK(MH0l!K24),ISERROR(MH0l!K24)),"",MH0l!K24)</f>
        <v>Método</v>
      </c>
      <c r="E22" s="113" t="str">
        <f>IF(OR(ISBLANK(MH0l!L24),ISERROR(MH0l!L24)),"",MH0l!L24)</f>
        <v>IC(-)</v>
      </c>
      <c r="F22" s="113"/>
      <c r="G22" s="113" t="str">
        <f>IF(OR(ISBLANK(MH0l!M24),ISERROR(MH0l!M24)),"",MH0l!M24)</f>
        <v>IC(+)</v>
      </c>
      <c r="H22" s="113" t="str">
        <f>IF(OR(ISBLANK(MH0l!N24),ISERROR(MH0l!N24)),"",MH0l!N24)</f>
        <v>d</v>
      </c>
      <c r="I22" s="199" t="str">
        <f>IF(OR(ISBLANK(MH0l!S24),ISERROR(MH0l!S24)),"",MH0l!S24)</f>
        <v>Validez</v>
      </c>
      <c r="J22" s="226" t="str">
        <f>IF(OR(ISBLANK(MH0l!P24),ISERROR(MH0l!P24)),"",MH0l!P24)</f>
        <v>IC(-)</v>
      </c>
      <c r="K22" s="226" t="str">
        <f>IF(OR(ISBLANK(MH0l!Q24),ISERROR(MH0l!Q24)),"",MH0l!Q24)</f>
        <v>IC(+)</v>
      </c>
      <c r="L22" s="226" t="str">
        <f>IF(OR(ISBLANK(MH0l!R24),ISERROR(MH0l!R24)),"",MH0l!R24)</f>
        <v>d</v>
      </c>
      <c r="M22" s="14" t="str">
        <f>IF(OR(ISBLANK(MH0l!#REF!),ISERROR(MH0l!#REF!)),"",MH0l!#REF!)</f>
        <v/>
      </c>
      <c r="N22" s="77"/>
      <c r="O22" s="18" t="str">
        <f>E22</f>
        <v>IC(-)</v>
      </c>
      <c r="P22" s="18" t="str">
        <f>G22</f>
        <v>IC(+)</v>
      </c>
      <c r="Q22" s="18" t="str">
        <f>H22</f>
        <v>d</v>
      </c>
    </row>
    <row r="23" spans="1:17" x14ac:dyDescent="0.2">
      <c r="A23" s="59" t="str">
        <f>IF(OR(ISBLANK(MH0l!A26),ISERROR(MH0l!A26)),"",MH0l!A26)</f>
        <v/>
      </c>
      <c r="B23" s="10" t="str">
        <f>IF(OR(ISBLANK(MH0l!B26),ISERROR(MH0l!B26)),"",MH0l!B26)</f>
        <v/>
      </c>
      <c r="C23" s="34"/>
      <c r="D23" s="211" t="str">
        <f>IF(OR(ISBLANK(MH0l!K25),ISERROR(MH0l!K25)),"",MH0l!K25)</f>
        <v>Exacto</v>
      </c>
      <c r="E23" s="363">
        <f>IF(OR(ISBLANK(MH0l!L25),ISERROR(MH0l!L25)),"",MH0l!L25)</f>
        <v>5.8589492544666638E-2</v>
      </c>
      <c r="F23" s="363"/>
      <c r="G23" s="363">
        <f>IF(OR(ISBLANK(MH0l!M25),ISERROR(MH0l!M25)),"",MH0l!M25)</f>
        <v>0.20805489856123918</v>
      </c>
      <c r="H23" s="363">
        <f>IF(OR(ISBLANK(MH0l!N25),ISERROR(MH0l!N25)),"",MH0l!N25)</f>
        <v>7.4732703008286272E-2</v>
      </c>
      <c r="I23" s="212" t="str">
        <f>IF(OR(ISBLANK(MH0l!O25),ISERROR(MH0l!O25)),"",MH0l!O25)</f>
        <v>Si</v>
      </c>
      <c r="J23" s="227">
        <f>IF(OR(ISBLANK(MH0l!P25),ISERROR(MH0l!P25)),"",MH0l!P25)</f>
        <v>5.8589492544666638E-2</v>
      </c>
      <c r="K23" s="227">
        <f>IF(OR(ISBLANK(MH0l!Q25),ISERROR(MH0l!Q25)),"",MH0l!Q25)</f>
        <v>0.20805489856123918</v>
      </c>
      <c r="L23" s="227">
        <f>IF(OR(ISBLANK(MH0l!R25),ISERROR(MH0l!R25)),"",MH0l!R25)</f>
        <v>7.4732703008286272E-2</v>
      </c>
      <c r="M23" s="14" t="str">
        <f>IF(OR(ISBLANK(MH0l!#REF!),ISERROR(MH0l!#REF!)),"",MH0l!#REF!)</f>
        <v/>
      </c>
      <c r="N23" s="59" t="str">
        <f>D23</f>
        <v>Exacto</v>
      </c>
      <c r="O23" s="78">
        <f>E23*$Q$19</f>
        <v>58.589492544666641</v>
      </c>
      <c r="P23" s="78">
        <f t="shared" ref="P23:Q27" si="0">G23*$Q$19</f>
        <v>208.05489856123918</v>
      </c>
      <c r="Q23" s="78">
        <f t="shared" si="0"/>
        <v>74.732703008286279</v>
      </c>
    </row>
    <row r="24" spans="1:17" x14ac:dyDescent="0.2">
      <c r="A24" s="12" t="str">
        <f>IF(OR(ISBLANK(MH0l!A27),ISERROR(MH0l!A27)),"",MH0l!A27)</f>
        <v/>
      </c>
      <c r="B24" s="10" t="str">
        <f>IF(OR(ISBLANK(MH0l!B27),ISERROR(MH0l!B27)),"",MH0l!B27)</f>
        <v/>
      </c>
      <c r="C24" s="210"/>
      <c r="D24" s="211" t="str">
        <f>IF(OR(ISBLANK(MH0l!K26),ISERROR(MH0l!K26)),"",MH0l!K26)</f>
        <v>Wilson</v>
      </c>
      <c r="E24" s="363">
        <f>IF(OR(ISBLANK(MH0l!L26),ISERROR(MH0l!L26)),"",MH0l!L26)</f>
        <v>6.1657480013023062E-2</v>
      </c>
      <c r="F24" s="363"/>
      <c r="G24" s="363">
        <f>IF(OR(ISBLANK(MH0l!M26),ISERROR(MH0l!M26)),"",MH0l!M26)</f>
        <v>0.21247751050533376</v>
      </c>
      <c r="H24" s="363">
        <f>IF(OR(ISBLANK(MH0l!N26),ISERROR(MH0l!N26)),"",MH0l!N26)</f>
        <v>7.5410015246155343E-2</v>
      </c>
      <c r="I24" s="212" t="str">
        <f>IF(OR(ISBLANK(MH0l!O26),ISERROR(MH0l!O26)),"",MH0l!O26)</f>
        <v>Si</v>
      </c>
      <c r="J24" s="227">
        <f>IF(OR(ISBLANK(MH0l!P26),ISERROR(MH0l!P26)),"",MH0l!P26)</f>
        <v>6.1657480013023062E-2</v>
      </c>
      <c r="K24" s="227">
        <f>IF(OR(ISBLANK(MH0l!Q26),ISERROR(MH0l!Q26)),"",MH0l!Q26)</f>
        <v>0.21247751050533376</v>
      </c>
      <c r="L24" s="227">
        <f>IF(OR(ISBLANK(MH0l!R26),ISERROR(MH0l!R26)),"",MH0l!R26)</f>
        <v>7.5410015246155343E-2</v>
      </c>
      <c r="M24" s="14" t="str">
        <f>IF(OR(ISBLANK(MH0l!#REF!),ISERROR(MH0l!#REF!)),"",MH0l!#REF!)</f>
        <v/>
      </c>
      <c r="N24" s="59" t="str">
        <f t="shared" ref="N24:N27" si="1">D24</f>
        <v>Wilson</v>
      </c>
      <c r="O24" s="25">
        <f>E24*$Q$19</f>
        <v>61.657480013023061</v>
      </c>
      <c r="P24" s="25">
        <f t="shared" si="0"/>
        <v>212.47751050533375</v>
      </c>
      <c r="Q24" s="25">
        <f t="shared" si="0"/>
        <v>75.410015246155339</v>
      </c>
    </row>
    <row r="25" spans="1:17" x14ac:dyDescent="0.2">
      <c r="A25" s="12" t="str">
        <f>IF(OR(ISBLANK(MH0l!A28),ISERROR(MH0l!A28)),"",MH0l!A28)</f>
        <v/>
      </c>
      <c r="B25" s="10" t="str">
        <f>IF(OR(ISBLANK(MH0l!B28),ISERROR(MH0l!B28)),"",MH0l!B28)</f>
        <v/>
      </c>
      <c r="C25" s="210"/>
      <c r="D25" s="211" t="str">
        <f>IF(OR(ISBLANK(MH0l!K27),ISERROR(MH0l!K27)),"",MH0l!K27)</f>
        <v>Wald</v>
      </c>
      <c r="E25" s="363">
        <f>IF(OR(ISBLANK(MH0l!L27),ISERROR(MH0l!L27)),"",MH0l!L27)</f>
        <v>4.3841212712045996E-2</v>
      </c>
      <c r="F25" s="363"/>
      <c r="G25" s="363">
        <f>IF(OR(ISBLANK(MH0l!M27),ISERROR(MH0l!M27)),"",MH0l!M27)</f>
        <v>0.19425402538319209</v>
      </c>
      <c r="H25" s="363">
        <f>IF(OR(ISBLANK(MH0l!N27),ISERROR(MH0l!N27)),"",MH0l!N27)</f>
        <v>7.5206406335573045E-2</v>
      </c>
      <c r="I25" s="212" t="str">
        <f>IF(OR(ISBLANK(MH0l!O27),ISERROR(MH0l!O27)),"",MH0l!O27)</f>
        <v>No</v>
      </c>
      <c r="J25" s="227">
        <f>IF(OR(ISBLANK(MH0l!P27),ISERROR(MH0l!P27)),"",MH0l!P27)</f>
        <v>4.3841212712045996E-2</v>
      </c>
      <c r="K25" s="227">
        <f>IF(OR(ISBLANK(MH0l!Q27),ISERROR(MH0l!Q27)),"",MH0l!Q27)</f>
        <v>0.19425402538319209</v>
      </c>
      <c r="L25" s="227">
        <f>IF(OR(ISBLANK(MH0l!R27),ISERROR(MH0l!R27)),"",MH0l!R27)</f>
        <v>7.5206406335573045E-2</v>
      </c>
      <c r="M25" s="14" t="str">
        <f>IF(OR(ISBLANK(MH0l!#REF!),ISERROR(MH0l!#REF!)),"",MH0l!#REF!)</f>
        <v/>
      </c>
      <c r="N25" s="59" t="str">
        <f t="shared" si="1"/>
        <v>Wald</v>
      </c>
      <c r="O25" s="25">
        <f>E25*$Q$19</f>
        <v>43.841212712045994</v>
      </c>
      <c r="P25" s="25">
        <f t="shared" si="0"/>
        <v>194.25402538319207</v>
      </c>
      <c r="Q25" s="25">
        <f t="shared" si="0"/>
        <v>75.20640633557305</v>
      </c>
    </row>
    <row r="26" spans="1:17" x14ac:dyDescent="0.2">
      <c r="A26" s="12" t="str">
        <f>IF(OR(ISBLANK(MH0l!A29),ISERROR(MH0l!A29)),"",MH0l!A29)</f>
        <v/>
      </c>
      <c r="B26" s="59" t="str">
        <f>IF(OR(ISBLANK(MH0l!B29),ISERROR(MH0l!B29)),"",MH0l!B29)</f>
        <v/>
      </c>
      <c r="C26" s="209"/>
      <c r="D26" s="211" t="str">
        <f>IF(OR(ISBLANK(MH0l!K28),ISERROR(MH0l!K28)),"",MH0l!K28)</f>
        <v>Wald Ajustado</v>
      </c>
      <c r="E26" s="363">
        <f>IF(OR(ISBLANK(MH0l!L28),ISERROR(MH0l!L28)),"",MH0l!L28)</f>
        <v>6.466324900080532E-2</v>
      </c>
      <c r="F26" s="363"/>
      <c r="G26" s="363">
        <f>IF(OR(ISBLANK(MH0l!M28),ISERROR(MH0l!M28)),"",MH0l!M28)</f>
        <v>0.20806402372646737</v>
      </c>
      <c r="H26" s="363">
        <f>IF(OR(ISBLANK(MH0l!N28),ISERROR(MH0l!N28)),"",MH0l!N28)</f>
        <v>7.1700387362831033E-2</v>
      </c>
      <c r="I26" s="212" t="str">
        <f>IF(OR(ISBLANK(MH0l!O28),ISERROR(MH0l!O28)),"",MH0l!O28)</f>
        <v>Si</v>
      </c>
      <c r="J26" s="227">
        <f>IF(OR(ISBLANK(MH0l!P28),ISERROR(MH0l!P28)),"",MH0l!P28)</f>
        <v>6.466324900080532E-2</v>
      </c>
      <c r="K26" s="227">
        <f>IF(OR(ISBLANK(MH0l!Q28),ISERROR(MH0l!Q28)),"",MH0l!Q28)</f>
        <v>0.20806402372646737</v>
      </c>
      <c r="L26" s="227">
        <f>IF(OR(ISBLANK(MH0l!R28),ISERROR(MH0l!R28)),"",MH0l!R28)</f>
        <v>7.1700387362831033E-2</v>
      </c>
      <c r="M26" s="14" t="str">
        <f>IF(OR(ISBLANK(MH0l!#REF!),ISERROR(MH0l!#REF!)),"",MH0l!#REF!)</f>
        <v/>
      </c>
      <c r="N26" s="59" t="str">
        <f t="shared" si="1"/>
        <v>Wald Ajustado</v>
      </c>
      <c r="O26" s="25">
        <f>E26*$Q$19</f>
        <v>64.663249000805322</v>
      </c>
      <c r="P26" s="25">
        <f t="shared" si="0"/>
        <v>208.06402372646738</v>
      </c>
      <c r="Q26" s="25">
        <f t="shared" si="0"/>
        <v>71.700387362831037</v>
      </c>
    </row>
    <row r="27" spans="1:17" x14ac:dyDescent="0.2">
      <c r="B27" s="10"/>
      <c r="C27" s="5"/>
      <c r="D27" s="211" t="str">
        <f>IF(OR(ISBLANK(MH0l!K29),ISERROR(MH0l!K29)),"",MH0l!K29)</f>
        <v>Poisson</v>
      </c>
      <c r="E27" s="363">
        <f>IF(OR(ISBLANK(MH0l!L29),ISERROR(MH0l!L29)),"",MH0l!L29)</f>
        <v>5.7087960668243252E-2</v>
      </c>
      <c r="F27" s="363"/>
      <c r="G27" s="363">
        <f>IF(OR(ISBLANK(MH0l!M29),ISERROR(MH0l!M29)),"",MH0l!M29)</f>
        <v>0.21893281002402118</v>
      </c>
      <c r="H27" s="363">
        <f>IF(OR(ISBLANK(MH0l!N29),ISERROR(MH0l!N29)),"",MH0l!N29)</f>
        <v>8.092242467788896E-2</v>
      </c>
      <c r="I27" s="212" t="str">
        <f>IF(OR(ISBLANK(MH0l!O29),ISERROR(MH0l!O29)),"",MH0l!O29)</f>
        <v>Si</v>
      </c>
      <c r="J27" s="227">
        <f>IF(OR(ISBLANK(MH0l!P29),ISERROR(MH0l!P29)),"",MH0l!P29)</f>
        <v>5.7087960668243252E-2</v>
      </c>
      <c r="K27" s="227">
        <f>IF(OR(ISBLANK(MH0l!Q29),ISERROR(MH0l!Q29)),"",MH0l!Q29)</f>
        <v>0.21893281002402118</v>
      </c>
      <c r="L27" s="227">
        <f>IF(OR(ISBLANK(MH0l!R29),ISERROR(MH0l!R29)),"",MH0l!R29)</f>
        <v>8.092242467788896E-2</v>
      </c>
      <c r="M27" s="14"/>
      <c r="N27" s="211" t="str">
        <f t="shared" si="1"/>
        <v>Poisson</v>
      </c>
      <c r="O27" s="117">
        <f>E27*$Q$19</f>
        <v>57.087960668243255</v>
      </c>
      <c r="P27" s="117">
        <f t="shared" si="0"/>
        <v>218.93281002402117</v>
      </c>
      <c r="Q27" s="117">
        <f t="shared" si="0"/>
        <v>80.922424677888955</v>
      </c>
    </row>
    <row r="28" spans="1:17" x14ac:dyDescent="0.2">
      <c r="B28" s="10"/>
      <c r="C28" s="5"/>
      <c r="D28" s="213" t="str">
        <f>IF(OR(ISBLANK(MH0l!D25),ISERROR(MH0l!D25)),"",MH0l!D25)</f>
        <v>Confianza: 95%</v>
      </c>
      <c r="E28" s="21"/>
      <c r="F28" s="21"/>
      <c r="G28" s="200"/>
      <c r="H28" s="201"/>
      <c r="I28" s="202"/>
      <c r="L28" s="36"/>
      <c r="M28" s="14"/>
    </row>
    <row r="29" spans="1:17" x14ac:dyDescent="0.2">
      <c r="A29" s="12" t="str">
        <f>IF(OR(ISBLANK(MH0l!A39),ISERROR(MH0l!A39)),"",MH0l!A39)</f>
        <v/>
      </c>
      <c r="B29" s="10" t="str">
        <f>IF(OR(ISBLANK(MH0l!B39),ISERROR(MH0l!B39)),"",MH0l!B39)</f>
        <v/>
      </c>
      <c r="C29" s="5" t="str">
        <f>IF(OR(ISBLANK(MH0l!C39),ISERROR(MH0l!C39)),"",MH0l!C39)</f>
        <v/>
      </c>
      <c r="D29" s="12" t="str">
        <f>IF(OR(ISBLANK(MH0l!D39),ISERROR(MH0l!D39)),"",MH0l!D39)</f>
        <v/>
      </c>
      <c r="E29" s="12" t="str">
        <f>IF(OR(ISBLANK(MH0l!E39),ISERROR(MH0l!E39)),"",MH0l!E39)</f>
        <v/>
      </c>
      <c r="G29" s="12" t="str">
        <f>IF(OR(ISBLANK(MH0l!F39),ISERROR(MH0l!F39)),"",MH0l!F39)</f>
        <v/>
      </c>
      <c r="H29" s="12" t="str">
        <f>IF(OR(ISBLANK(MH0l!G39),ISERROR(MH0l!G39)),"",MH0l!G39)</f>
        <v/>
      </c>
      <c r="I29" s="12" t="str">
        <f>IF(OR(ISBLANK(MH0l!H39),ISERROR(MH0l!H39)),"",MH0l!H39)</f>
        <v/>
      </c>
      <c r="J29" s="12" t="str">
        <f>IF(OR(ISBLANK(MH0l!I39),ISERROR(MH0l!I39)),"",MH0l!I39)</f>
        <v/>
      </c>
      <c r="K29" s="12" t="str">
        <f>IF(OR(ISBLANK(MH0l!J39),ISERROR(MH0l!J39)),"",MH0l!J39)</f>
        <v/>
      </c>
      <c r="L29" s="36" t="str">
        <f>IF(OR(ISBLANK(MH0l!K39),ISERROR(MH0l!K39)),"",MH0l!K39)</f>
        <v/>
      </c>
      <c r="M29" s="14" t="str">
        <f>IF(OR(ISBLANK(MH0l!L39),ISERROR(MH0l!L39)),"",MH0l!L39)</f>
        <v/>
      </c>
      <c r="N29" s="12" t="str">
        <f>IF(OR(ISBLANK(MH0l!M39),ISERROR(MH0l!M39)),"",MH0l!M39)</f>
        <v/>
      </c>
      <c r="O29" s="12" t="str">
        <f>IF(OR(ISBLANK(MH0l!N39),ISERROR(MH0l!N39)),"",MH0l!N39)</f>
        <v/>
      </c>
      <c r="P29" s="12" t="str">
        <f>IF(OR(ISBLANK(MH0l!O39),ISERROR(MH0l!O39)),"",MH0l!O39)</f>
        <v/>
      </c>
      <c r="Q29" s="12" t="str">
        <f>IF(OR(ISBLANK(MH0l!P39),ISERROR(MH0l!P39)),"",MH0l!P39)</f>
        <v/>
      </c>
    </row>
    <row r="30" spans="1:17" x14ac:dyDescent="0.2">
      <c r="A30" s="12" t="str">
        <f>IF(OR(ISBLANK(MH0l!A40),ISERROR(MH0l!A40)),"",MH0l!A40)</f>
        <v/>
      </c>
      <c r="B30" s="10" t="str">
        <f>IF(OR(ISBLANK(MH0l!B40),ISERROR(MH0l!B40)),"",MH0l!B40)</f>
        <v/>
      </c>
      <c r="C30" s="84" t="str">
        <f>IF(OR(ISBLANK(MH0l!C40),ISERROR(MH0l!C40)),"",MH0l!C40)</f>
        <v>3b</v>
      </c>
      <c r="D30" s="59" t="str">
        <f>IF(OR(ISBLANK(MH0l!D40),ISERROR(MH0l!D40)),"",MH0l!D40)</f>
        <v>Tamaño de muestra (sin cpc.  Nivel de confianza = 95%)</v>
      </c>
      <c r="E30" s="85"/>
      <c r="F30" s="85"/>
      <c r="G30" s="36"/>
      <c r="I30" s="6"/>
      <c r="J30" s="6" t="str">
        <f>IF(OR(ISBLANK(MH0l!I40),ISERROR(MH0l!I40)),"",MH0l!I40)</f>
        <v/>
      </c>
      <c r="K30" s="12" t="str">
        <f>IF(OR(ISBLANK(MH0l!J40),ISERROR(MH0l!J40)),"",MH0l!J40)</f>
        <v/>
      </c>
      <c r="L30" s="12" t="str">
        <f>IF(OR(ISBLANK(MH0l!K40),ISERROR(MH0l!K40)),"",MH0l!K40)</f>
        <v/>
      </c>
      <c r="M30" s="12" t="str">
        <f>IF(OR(ISBLANK(MH0l!L40),ISERROR(MH0l!L40)),"",MH0l!L40)</f>
        <v/>
      </c>
      <c r="N30" s="12" t="str">
        <f>IF(OR(ISBLANK(MH0l!M40),ISERROR(MH0l!M40)),"",MH0l!M40)</f>
        <v/>
      </c>
      <c r="O30" s="12" t="str">
        <f>IF(OR(ISBLANK(MH0l!N40),ISERROR(MH0l!N40)),"",MH0l!N40)</f>
        <v/>
      </c>
      <c r="P30" s="12" t="str">
        <f>IF(OR(ISBLANK(MH0l!O40),ISERROR(MH0l!O40)),"",MH0l!O40)</f>
        <v/>
      </c>
      <c r="Q30" s="12" t="str">
        <f>IF(OR(ISBLANK(MH0l!P40),ISERROR(MH0l!P40)),"",MH0l!P40)</f>
        <v/>
      </c>
    </row>
    <row r="31" spans="1:17" ht="3" customHeight="1" x14ac:dyDescent="0.2">
      <c r="A31" s="12" t="str">
        <f>IF(OR(ISBLANK(MH0l!A41),ISERROR(MH0l!A41)),"",MH0l!A41)</f>
        <v/>
      </c>
      <c r="B31" s="10" t="str">
        <f>IF(OR(ISBLANK(MH0l!B41),ISERROR(MH0l!B41)),"",MH0l!B41)</f>
        <v/>
      </c>
      <c r="C31" s="34" t="str">
        <f>IF(OR(ISBLANK(MH0l!C41),ISERROR(MH0l!C41)),"",MH0l!C41)</f>
        <v/>
      </c>
      <c r="D31" s="81" t="str">
        <f>IF(OR(ISBLANK(MH0l!D41),ISERROR(MH0l!D41)),"",MH0l!D41)</f>
        <v/>
      </c>
      <c r="E31" s="6" t="str">
        <f>IF(OR(ISBLANK(MH0l!#REF!),ISERROR(MH0l!#REF!)),"",MH0l!#REF!)</f>
        <v/>
      </c>
      <c r="F31" s="6"/>
      <c r="G31" s="6">
        <f>IF(OR(ISBLANK(MH0l!F41),ISERROR(MH0l!F41)),"",MH0l!F41)</f>
        <v>0.05</v>
      </c>
      <c r="H31" s="12" t="str">
        <f>IF(OR(ISBLANK(MH0l!G41),ISERROR(MH0l!G41)),"",MH0l!G41)</f>
        <v/>
      </c>
      <c r="I31" s="6" t="str">
        <f>IF(OR(ISBLANK(MH0l!H41),ISERROR(MH0l!H41)),"",MH0l!H41)</f>
        <v/>
      </c>
      <c r="J31" s="12" t="str">
        <f>IF(OR(ISBLANK(MH0l!I41),ISERROR(MH0l!I41)),"",MH0l!I41)</f>
        <v/>
      </c>
      <c r="K31" s="12" t="str">
        <f>IF(OR(ISBLANK(MH0l!J41),ISERROR(MH0l!J41)),"",MH0l!J41)</f>
        <v/>
      </c>
      <c r="L31" s="12" t="str">
        <f>IF(OR(ISBLANK(MH0l!K41),ISERROR(MH0l!K41)),"",MH0l!K41)</f>
        <v/>
      </c>
      <c r="M31" s="12" t="str">
        <f>IF(OR(ISBLANK(MH0l!L41),ISERROR(MH0l!L41)),"",MH0l!L41)</f>
        <v/>
      </c>
      <c r="N31" s="12" t="str">
        <f>IF(OR(ISBLANK(MH0l!M41),ISERROR(MH0l!M41)),"",MH0l!M41)</f>
        <v/>
      </c>
      <c r="O31" s="12" t="str">
        <f>IF(OR(ISBLANK(MH0l!N41),ISERROR(MH0l!N41)),"",MH0l!N41)</f>
        <v/>
      </c>
      <c r="P31" s="12" t="str">
        <f>IF(OR(ISBLANK(MH0l!O41),ISERROR(MH0l!O41)),"",MH0l!O41)</f>
        <v/>
      </c>
      <c r="Q31" s="12" t="str">
        <f>IF(OR(ISBLANK(MH0l!P41),ISERROR(MH0l!P41)),"",MH0l!P41)</f>
        <v/>
      </c>
    </row>
    <row r="32" spans="1:17" x14ac:dyDescent="0.2">
      <c r="A32" s="15" t="str">
        <f>IF(OR(ISBLANK(MH0l!A42),ISERROR(MH0l!A42)),"",MH0l!A42)</f>
        <v/>
      </c>
      <c r="B32" s="16" t="str">
        <f>IF(OR(ISBLANK(MH0l!B42),ISERROR(MH0l!B42)),"",MH0l!B42)</f>
        <v/>
      </c>
      <c r="C32" s="11" t="str">
        <f>IF(OR(ISBLANK(MH0l!C42),ISERROR(MH0l!C42)),"",MH0l!C42)</f>
        <v/>
      </c>
      <c r="D32" s="68" t="str">
        <f>IF(OR(ISBLANK(MH0l!D42),ISERROR(MH0l!D42)),"",MH0l!D42)</f>
        <v>Precisión</v>
      </c>
      <c r="E32" s="519">
        <v>0.05</v>
      </c>
      <c r="F32" s="86" t="str">
        <f>IF(OR(ISBLANK(MH0l!E46),ISERROR(MH0l!E46)),"",MH0l!E46)</f>
        <v/>
      </c>
      <c r="G32" s="86" t="str">
        <f>IF(OR(ISBLANK(MH0l!F42),ISERROR(MH0l!F42)),"",MH0l!F42)</f>
        <v>n</v>
      </c>
      <c r="H32" s="229" t="str">
        <f>IF(OR(ISBLANK(MH0l!G42),ISERROR(MH0l!G42)),"",MH0l!G42)</f>
        <v>p</v>
      </c>
      <c r="I32" s="229" t="str">
        <f>IF(OR(ISBLANK(MH0l!H42),ISERROR(MH0l!H42)),"",MH0l!H42)</f>
        <v>q</v>
      </c>
      <c r="J32" s="475" t="str">
        <f>IF(OR(ISBLANK(MH0l!J42),ISERROR(MH0l!J42)),"",MH0l!J42)</f>
        <v/>
      </c>
      <c r="K32" s="476"/>
      <c r="L32" s="476"/>
      <c r="M32" s="477"/>
      <c r="N32" s="477"/>
      <c r="Q32" s="12" t="str">
        <f>IF(OR(ISBLANK(MH0l!P42),ISERROR(MH0l!P42)),"",MH0l!P42)</f>
        <v/>
      </c>
    </row>
    <row r="33" spans="1:17" x14ac:dyDescent="0.2">
      <c r="A33" s="15" t="str">
        <f>IF(OR(ISBLANK(MH0l!A43),ISERROR(MH0l!A43)),"",MH0l!A43)</f>
        <v/>
      </c>
      <c r="B33" s="16" t="str">
        <f>IF(OR(ISBLANK(MH0l!B43),ISERROR(MH0l!B43)),"",MH0l!B43)</f>
        <v/>
      </c>
      <c r="C33" s="5" t="str">
        <f>IF(OR(ISBLANK(MH0l!C43),ISERROR(MH0l!C43)),"",MH0l!C43)</f>
        <v/>
      </c>
      <c r="D33" s="88" t="str">
        <f>IF(OR(ISBLANK(MH0l!D43),ISERROR(MH0l!D43)),"",MH0l!D43)</f>
        <v>Sin información previa</v>
      </c>
      <c r="G33" s="89">
        <f>IF(OR(ISBLANK(MH0l!F43),ISERROR(MH0l!F43)),"",MH0l!F43)</f>
        <v>385</v>
      </c>
      <c r="H33" s="230">
        <f>IF(OR(ISBLANK(MH0l!G43),ISERROR(MH0l!G43)),"",MH0l!G43)</f>
        <v>0.5</v>
      </c>
      <c r="I33" s="230">
        <f>IF(OR(ISBLANK(MH0l!H43),ISERROR(MH0l!H43)),"",MH0l!H43)</f>
        <v>0.5</v>
      </c>
      <c r="K33" s="12" t="str">
        <f>IF(OR(ISBLANK(MH0l!J43),ISERROR(MH0l!J43)),"",MH0l!J43)</f>
        <v/>
      </c>
      <c r="L33" s="12" t="str">
        <f>IF(OR(ISBLANK(MH0l!K43),ISERROR(MH0l!K43)),"",MH0l!K43)</f>
        <v/>
      </c>
      <c r="M33" s="12" t="str">
        <f>IF(OR(ISBLANK(MH0l!L43),ISERROR(MH0l!L43)),"",MH0l!L43)</f>
        <v/>
      </c>
      <c r="N33" s="12" t="str">
        <f>IF(OR(ISBLANK(MH0l!M43),ISERROR(MH0l!M43)),"",MH0l!M43)</f>
        <v/>
      </c>
      <c r="O33" s="12" t="str">
        <f>IF(OR(ISBLANK(MH0l!N43),ISERROR(MH0l!N43)),"",MH0l!N43)</f>
        <v/>
      </c>
      <c r="P33" s="12" t="str">
        <f>IF(OR(ISBLANK(MH0l!O43),ISERROR(MH0l!O43)),"",MH0l!O43)</f>
        <v/>
      </c>
      <c r="Q33" s="12" t="str">
        <f>IF(OR(ISBLANK(MH0l!P43),ISERROR(MH0l!P43)),"",MH0l!P43)</f>
        <v/>
      </c>
    </row>
    <row r="34" spans="1:17" x14ac:dyDescent="0.2">
      <c r="A34" s="12" t="str">
        <f>IF(OR(ISBLANK(MH0l!A44),ISERROR(MH0l!A44)),"",MH0l!A44)</f>
        <v/>
      </c>
      <c r="B34" s="20" t="str">
        <f>IF(OR(ISBLANK(MH0l!B44),ISERROR(MH0l!B44)),"",MH0l!B44)</f>
        <v/>
      </c>
      <c r="C34" s="11" t="str">
        <f>IF(OR(ISBLANK(MH0l!C44),ISERROR(MH0l!C44)),"",MH0l!C44)</f>
        <v/>
      </c>
      <c r="D34" s="88" t="str">
        <f>IF(OR(ISBLANK(MH0l!D44),ISERROR(MH0l!D44)),"",MH0l!D44)</f>
        <v>Usando la información actual:</v>
      </c>
      <c r="E34" s="14"/>
      <c r="F34" s="14"/>
      <c r="G34" s="89">
        <f>IF(OR(ISBLANK(MH0l!F44),ISERROR(MH0l!F44)),"",MH0l!F44)</f>
        <v>258</v>
      </c>
      <c r="H34" s="313">
        <f>IF(OR(ISBLANK(MH0l!G44),ISERROR(MH0l!G44)),"",MH0l!G44)</f>
        <v>0.21247751050533376</v>
      </c>
      <c r="I34" s="313">
        <f>IF(OR(ISBLANK(MH0l!H44),ISERROR(MH0l!H44)),"",MH0l!H44)</f>
        <v>0.78752248949466619</v>
      </c>
      <c r="J34" s="228" t="str">
        <f>IF(OR(ISBLANK(MH0l!J44),ISERROR(MH0l!J44)),"",MH0l!J44)</f>
        <v>Basado en el IC de Wilson</v>
      </c>
      <c r="L34" s="12" t="str">
        <f>IF(OR(ISBLANK(MH0l!#REF!),ISERROR(MH0l!#REF!)),"",MH0l!#REF!)</f>
        <v/>
      </c>
      <c r="M34" s="12" t="str">
        <f>IF(OR(ISBLANK(MH0l!L44),ISERROR(MH0l!L44)),"",MH0l!L44)</f>
        <v/>
      </c>
      <c r="N34" s="12" t="str">
        <f>IF(OR(ISBLANK(MH0l!M44),ISERROR(MH0l!M44)),"",MH0l!M44)</f>
        <v/>
      </c>
      <c r="O34" s="12" t="str">
        <f>IF(OR(ISBLANK(MH0l!N44),ISERROR(MH0l!N44)),"",MH0l!N44)</f>
        <v/>
      </c>
      <c r="P34" s="12" t="str">
        <f>IF(OR(ISBLANK(MH0l!O44),ISERROR(MH0l!O44)),"",MH0l!O44)</f>
        <v/>
      </c>
      <c r="Q34" s="12" t="str">
        <f>IF(OR(ISBLANK(MH0l!P44),ISERROR(MH0l!P44)),"",MH0l!P44)</f>
        <v/>
      </c>
    </row>
    <row r="35" spans="1:17" x14ac:dyDescent="0.2">
      <c r="D35" s="68"/>
      <c r="E35" s="68"/>
      <c r="F35" s="68"/>
      <c r="G35" s="91">
        <f>IF(OR(ISBLANK(MH0l!F45),ISERROR(MH0l!F45)),"",MH0l!F45)</f>
        <v>254</v>
      </c>
      <c r="H35" s="231">
        <f>IF(OR(ISBLANK(MH0l!G45),ISERROR(MH0l!G45)),"",MH0l!G45)</f>
        <v>0.20806402372646737</v>
      </c>
      <c r="I35" s="231">
        <f>IF(OR(ISBLANK(MH0l!H45),ISERROR(MH0l!H45)),"",MH0l!H45)</f>
        <v>0.79193597627353263</v>
      </c>
      <c r="J35" s="324" t="str">
        <f>IF(OR(ISBLANK(MH0l!J45),ISERROR(MH0l!J45)),"",MH0l!J45)</f>
        <v>Basado en el IC de Wald ajustado</v>
      </c>
      <c r="K35" s="68"/>
      <c r="L35" s="68"/>
    </row>
    <row r="36" spans="1:17" x14ac:dyDescent="0.2">
      <c r="A36" s="12" t="str">
        <f>IF(OR(ISBLANK(MH0l!A45),ISERROR(MH0l!A45)),"",MH0l!A45)</f>
        <v/>
      </c>
      <c r="B36" s="20" t="str">
        <f>IF(OR(ISBLANK(MH0l!B45),ISERROR(MH0l!B45)),"",MH0l!B45)</f>
        <v/>
      </c>
      <c r="C36" s="93" t="str">
        <f>IF(OR(ISBLANK(MH0l!C45),ISERROR(MH0l!C45)),"",MH0l!C45)</f>
        <v/>
      </c>
      <c r="D36" s="89" t="str">
        <f>IF(OR(ISBLANK(MH0l!D46),ISERROR(MH0l!D46)),"",MH0l!D46)</f>
        <v/>
      </c>
      <c r="E36" s="89" t="str">
        <f>IF(OR(ISBLANK(MH0l!#REF!),ISERROR(MH0l!#REF!)),"",MH0l!#REF!)</f>
        <v/>
      </c>
      <c r="F36" s="89"/>
      <c r="G36" s="89" t="str">
        <f>IF(OR(ISBLANK(MH0l!F46),ISERROR(MH0l!F46)),"",MH0l!F46)</f>
        <v/>
      </c>
      <c r="H36" s="313" t="str">
        <f>IF(OR(ISBLANK(MH0l!G46),ISERROR(MH0l!G46)),"",MH0l!G46)</f>
        <v/>
      </c>
      <c r="I36" s="313" t="str">
        <f>IF(OR(ISBLANK(MH0l!H46),ISERROR(MH0l!H46)),"",MH0l!H46)</f>
        <v/>
      </c>
      <c r="J36" s="228" t="str">
        <f>IF(OR(ISBLANK(MH0l!J46),ISERROR(MH0l!J46)),"",MH0l!J46)</f>
        <v/>
      </c>
      <c r="L36" s="12" t="str">
        <f>IF(OR(ISBLANK(MH0l!K45),ISERROR(MH0l!K45)),"",MH0l!K45)</f>
        <v/>
      </c>
      <c r="M36" s="12" t="str">
        <f>IF(OR(ISBLANK(MH0l!L45),ISERROR(MH0l!L45)),"",MH0l!L45)</f>
        <v/>
      </c>
      <c r="N36" s="12" t="str">
        <f>IF(OR(ISBLANK(MH0l!M45),ISERROR(MH0l!M45)),"",MH0l!M45)</f>
        <v/>
      </c>
      <c r="O36" s="12" t="str">
        <f>IF(OR(ISBLANK(MH0l!N45),ISERROR(MH0l!N45)),"",MH0l!N45)</f>
        <v/>
      </c>
      <c r="P36" s="12" t="str">
        <f>IF(OR(ISBLANK(MH0l!O45),ISERROR(MH0l!O45)),"",MH0l!O45)</f>
        <v/>
      </c>
      <c r="Q36" s="12" t="str">
        <f>IF(OR(ISBLANK(MH0l!P45),ISERROR(MH0l!P45)),"",MH0l!P45)</f>
        <v/>
      </c>
    </row>
    <row r="37" spans="1:17" x14ac:dyDescent="0.2">
      <c r="C37" s="93"/>
      <c r="D37" s="14"/>
      <c r="E37" s="14"/>
      <c r="F37" s="14"/>
      <c r="G37" s="14"/>
      <c r="H37" s="14"/>
      <c r="I37" s="14"/>
    </row>
    <row r="38" spans="1:17" ht="13.5" thickBot="1" x14ac:dyDescent="0.25">
      <c r="A38" s="12" t="str">
        <f>IF(OR(ISBLANK(MH0l!A49),ISERROR(MH0l!A49)),"",MH0l!A49)</f>
        <v/>
      </c>
      <c r="B38" s="451">
        <f>IF(OR(ISBLANK(MH0l!B49),ISERROR(MH0l!B49)),"",MH0l!B49)</f>
        <v>4</v>
      </c>
      <c r="C38" s="42" t="str">
        <f>IF(OR(ISBLANK(MH0l!C49),ISERROR(MH0l!C49)),"",MH0l!C49)</f>
        <v>Test Ho: p=po</v>
      </c>
      <c r="D38" s="13"/>
      <c r="E38" s="232" t="str">
        <f>IF(OR(ISBLANK(MH0l!E49),ISERROR(MH0l!E49)),"",MH0l!E49)</f>
        <v/>
      </c>
      <c r="F38" s="232"/>
      <c r="G38" s="13"/>
      <c r="H38" s="13"/>
      <c r="I38" s="13"/>
      <c r="J38" s="13"/>
      <c r="K38" s="13" t="str">
        <f>IF(OR(ISBLANK(MH0l!J49),ISERROR(MH0l!J49)),"",MH0l!J49)</f>
        <v/>
      </c>
      <c r="L38" s="13" t="str">
        <f>IF(OR(ISBLANK(MH0l!K49),ISERROR(MH0l!K49)),"",MH0l!K49)</f>
        <v/>
      </c>
      <c r="M38" s="14" t="str">
        <f>IF(OR(ISBLANK(MH0l!L49),ISERROR(MH0l!L49)),"",MH0l!L49)</f>
        <v/>
      </c>
      <c r="N38" s="12" t="str">
        <f>IF(OR(ISBLANK(MH0l!M49),ISERROR(MH0l!M49)),"",MH0l!M49)</f>
        <v/>
      </c>
      <c r="O38" s="12" t="str">
        <f>IF(OR(ISBLANK(MH0l!N49),ISERROR(MH0l!N49)),"",MH0l!N49)</f>
        <v/>
      </c>
      <c r="P38" s="12" t="str">
        <f>IF(OR(ISBLANK(MH0l!O49),ISERROR(MH0l!O49)),"",MH0l!O49)</f>
        <v/>
      </c>
      <c r="Q38" s="12" t="str">
        <f>IF(OR(ISBLANK(MH0l!P49),ISERROR(MH0l!P49)),"",MH0l!P49)</f>
        <v/>
      </c>
    </row>
    <row r="39" spans="1:17" ht="9.75" customHeight="1" x14ac:dyDescent="0.2">
      <c r="A39" s="12" t="str">
        <f>IF(OR(ISBLANK(MH0l!A51),ISERROR(MH0l!A51)),"",MH0l!A51)</f>
        <v/>
      </c>
      <c r="B39" s="20" t="str">
        <f>IF(OR(ISBLANK(MH0l!B51),ISERROR(MH0l!B51)),"",MH0l!B51)</f>
        <v/>
      </c>
      <c r="I39" s="14" t="str">
        <f>IF(OR(ISBLANK(MH0l!H51),ISERROR(MH0l!H51)),"",MH0l!H51)</f>
        <v/>
      </c>
      <c r="J39" s="14" t="str">
        <f>IF(OR(ISBLANK(MH0l!I51),ISERROR(MH0l!I51)),"",MH0l!I51)</f>
        <v/>
      </c>
      <c r="K39" s="14" t="str">
        <f>IF(OR(ISBLANK(MH0l!J51),ISERROR(MH0l!J51)),"",MH0l!J51)</f>
        <v/>
      </c>
      <c r="L39" s="14" t="str">
        <f>IF(OR(ISBLANK(MH0l!K51),ISERROR(MH0l!K51)),"",MH0l!K51)</f>
        <v/>
      </c>
      <c r="M39" s="14" t="str">
        <f>IF(OR(ISBLANK(MH0l!L51),ISERROR(MH0l!L51)),"",MH0l!L51)</f>
        <v/>
      </c>
      <c r="N39" s="12" t="str">
        <f>IF(OR(ISBLANK(MH0l!M51),ISERROR(MH0l!M51)),"",MH0l!M51)</f>
        <v/>
      </c>
      <c r="O39" s="12" t="str">
        <f>IF(OR(ISBLANK(MH0l!N51),ISERROR(MH0l!N51)),"",MH0l!N51)</f>
        <v/>
      </c>
      <c r="P39" s="12" t="str">
        <f>IF(OR(ISBLANK(MH0l!O51),ISERROR(MH0l!O51)),"",MH0l!O51)</f>
        <v/>
      </c>
      <c r="Q39" s="12" t="str">
        <f>IF(OR(ISBLANK(MH0l!P51),ISERROR(MH0l!P51)),"",MH0l!P51)</f>
        <v/>
      </c>
    </row>
    <row r="40" spans="1:17" x14ac:dyDescent="0.2">
      <c r="A40" s="12" t="str">
        <f>IF(OR(ISBLANK(MH0l!A56),ISERROR(MH0l!A56)),"",MH0l!A56)</f>
        <v/>
      </c>
      <c r="B40" s="20" t="str">
        <f>IF(OR(ISBLANK(MH0l!B52),ISERROR(MH0l!B52)),"",MH0l!B52)</f>
        <v/>
      </c>
      <c r="C40" s="10" t="str">
        <f>IF(OR(ISBLANK(MH0l!C50),ISERROR(MH0l!C50)),"",MH0l!C50)</f>
        <v>4a</v>
      </c>
      <c r="D40" s="211" t="str">
        <f>IF(OR(ISBLANK(MH0l!D50),ISERROR(MH0l!D50)),"",MH0l!D50)</f>
        <v>Test</v>
      </c>
      <c r="E40" s="68" t="str">
        <f>IF(OR(ISBLANK(MH0l!E50),ISERROR(MH0l!E50)),"",MH0l!E50)</f>
        <v/>
      </c>
      <c r="F40" s="68"/>
      <c r="G40" s="68" t="str">
        <f>IF(OR(ISBLANK(MH0l!F50),ISERROR(MH0l!F50)),"",MH0l!F50)</f>
        <v/>
      </c>
      <c r="H40" s="68"/>
      <c r="I40" s="14"/>
      <c r="J40" s="14"/>
      <c r="K40" s="14"/>
      <c r="L40" s="14"/>
      <c r="M40" s="14"/>
      <c r="N40" s="12" t="str">
        <f>IF(OR(ISBLANK(MH0l!M56),ISERROR(MH0l!M56)),"",MH0l!M56)</f>
        <v/>
      </c>
      <c r="O40" s="12" t="str">
        <f>IF(OR(ISBLANK(MH0l!N56),ISERROR(MH0l!N56)),"",MH0l!N56)</f>
        <v/>
      </c>
      <c r="P40" s="12" t="str">
        <f>IF(OR(ISBLANK(MH0l!O56),ISERROR(MH0l!O56)),"",MH0l!O56)</f>
        <v/>
      </c>
      <c r="Q40" s="12" t="str">
        <f>IF(OR(ISBLANK(MH0l!P56),ISERROR(MH0l!P56)),"",MH0l!P56)</f>
        <v/>
      </c>
    </row>
    <row r="41" spans="1:17" x14ac:dyDescent="0.2">
      <c r="B41" s="20" t="str">
        <f>IF(OR(ISBLANK(MH0l!B54),ISERROR(MH0l!B54)),"",MH0l!B54)</f>
        <v/>
      </c>
      <c r="C41" s="11" t="str">
        <f>IF(OR(ISBLANK(MH0l!C52),ISERROR(MH0l!C52)),"",MH0l!C52)</f>
        <v/>
      </c>
      <c r="D41" s="173" t="s">
        <v>234</v>
      </c>
      <c r="E41" s="515">
        <v>0.15</v>
      </c>
      <c r="F41" s="325">
        <v>0.2</v>
      </c>
      <c r="G41" s="514" t="str">
        <f>IF(OR(ISBLANK(MH0l!F51),ISERROR(MH0l!F51)),"",MH0l!F51)</f>
        <v/>
      </c>
      <c r="H41" s="14" t="str">
        <f>IF(OR(ISBLANK(MH0l!G54),ISERROR(MH0l!G54)),"",MH0l!G54)</f>
        <v/>
      </c>
      <c r="I41" s="14" t="str">
        <f>IF(OR(ISBLANK(MH0l!H54),ISERROR(MH0l!H54)),"",MH0l!H54)</f>
        <v/>
      </c>
      <c r="J41" s="14" t="str">
        <f>IF(OR(ISBLANK(MH0l!I54),ISERROR(MH0l!I54)),"",MH0l!I54)</f>
        <v/>
      </c>
      <c r="K41" s="14"/>
      <c r="L41" s="14"/>
      <c r="M41" s="14"/>
    </row>
    <row r="42" spans="1:17" x14ac:dyDescent="0.2">
      <c r="B42" s="20" t="str">
        <f>IF(OR(ISBLANK(MH0l!B55),ISERROR(MH0l!B55)),"",MH0l!B55)</f>
        <v/>
      </c>
      <c r="C42" s="11" t="str">
        <f>IF(OR(ISBLANK(MH0l!C53),ISERROR(MH0l!C53)),"",MH0l!C53)</f>
        <v/>
      </c>
      <c r="D42" s="12" t="str">
        <f>IF(OR(ISBLANK(MH0l!D53),ISERROR(MH0l!D53)),"",MH0l!D53)</f>
        <v>Colas</v>
      </c>
      <c r="E42" s="94">
        <v>2</v>
      </c>
      <c r="F42" s="94"/>
      <c r="G42" s="235" t="str">
        <f>IF(OR(ISBLANK(MH0l!F53),ISERROR(MH0l!F53)),"",MH0l!F53)</f>
        <v/>
      </c>
      <c r="H42" s="235"/>
      <c r="I42" s="14"/>
      <c r="J42" s="14"/>
      <c r="K42" s="14"/>
      <c r="L42" s="14"/>
      <c r="M42" s="14"/>
    </row>
    <row r="43" spans="1:17" x14ac:dyDescent="0.2">
      <c r="C43" s="93" t="str">
        <f>IF(OR(ISBLANK(MH0l!C54),ISERROR(MH0l!C54)),"",MH0l!C54)</f>
        <v/>
      </c>
      <c r="D43" s="517" t="str">
        <f>IF(OR(ISBLANK(MH0l!D54),ISERROR(MH0l!D54)),"",MH0l!D54)</f>
        <v>Zexp</v>
      </c>
      <c r="E43" s="518">
        <f>IF(OR(ISBLANK(MH0l!E54),ISERROR(MH0l!E54)),"",MH0l!E54)</f>
        <v>0.64168894791974795</v>
      </c>
      <c r="F43" s="518"/>
      <c r="G43" s="18" t="str">
        <f>IF(OR(ISBLANK(MH0l!F54),ISERROR(MH0l!F54)),"",MH0l!F54)</f>
        <v/>
      </c>
      <c r="H43" s="18" t="str">
        <f>IF(OR(ISBLANK(MH0l!G54),ISERROR(MH0l!G54)),"",MH0l!G54)</f>
        <v/>
      </c>
      <c r="I43" s="14"/>
      <c r="J43" s="14"/>
      <c r="K43" s="14"/>
      <c r="L43" s="14"/>
      <c r="M43" s="14"/>
    </row>
    <row r="44" spans="1:17" x14ac:dyDescent="0.2">
      <c r="C44" s="93" t="str">
        <f>IF(OR(ISBLANK(MH0l!C55),ISERROR(MH0l!C55)),"",MH0l!C55)</f>
        <v/>
      </c>
      <c r="D44" s="68" t="str">
        <f>IF(OR(ISBLANK(MH0l!D55),ISERROR(MH0l!D55)),"",MH0l!D55)</f>
        <v>Significación</v>
      </c>
      <c r="E44" s="95">
        <f>IF(OR(ISBLANK(MH0l!E55),ISERROR(MH0l!E55)),"",MH0l!E55)</f>
        <v>0.52107516666718312</v>
      </c>
      <c r="F44" s="95"/>
      <c r="G44" s="233"/>
      <c r="H44" s="95" t="str">
        <f>IF(OR(ISBLANK(MH0l!G55),ISERROR(MH0l!G55)),"",MH0l!G55)</f>
        <v/>
      </c>
      <c r="I44" s="14"/>
      <c r="J44" s="14"/>
      <c r="K44" s="14"/>
      <c r="L44" s="14"/>
      <c r="M44" s="14"/>
    </row>
    <row r="45" spans="1:17" x14ac:dyDescent="0.2">
      <c r="C45" s="93"/>
      <c r="D45" s="93"/>
      <c r="E45" s="93"/>
      <c r="F45" s="93"/>
      <c r="G45" s="93"/>
      <c r="H45" s="93"/>
      <c r="I45" s="14"/>
      <c r="J45" s="14"/>
      <c r="K45" s="14"/>
      <c r="L45" s="14"/>
      <c r="M45" s="14"/>
    </row>
    <row r="46" spans="1:17" x14ac:dyDescent="0.2">
      <c r="C46" s="10" t="str">
        <f>IF(OR(ISBLANK(MH0l!C57),ISERROR(MH0l!C57)),"",MH0l!C57)</f>
        <v>4b</v>
      </c>
      <c r="D46" s="5" t="str">
        <f>IF(OR(ISBLANK(MH0l!D57),ISERROR(MH0l!D57)),"",MH0l!D57)</f>
        <v>Tamaño de muestra</v>
      </c>
      <c r="E46" s="5"/>
      <c r="F46" s="5"/>
      <c r="G46" s="5" t="str">
        <f>IF(OR(ISBLANK(MH0l!F57),ISERROR(MH0l!F57)),"",MH0l!F57)</f>
        <v/>
      </c>
      <c r="H46" s="5" t="str">
        <f>IF(OR(ISBLANK(MH0l!G57),ISERROR(MH0l!G57)),"",MH0l!G57)</f>
        <v/>
      </c>
      <c r="I46" s="5" t="str">
        <f>IF(OR(ISBLANK(MH0l!H57),ISERROR(MH0l!H57)),"",MH0l!H57)</f>
        <v/>
      </c>
      <c r="J46" s="14"/>
      <c r="K46" s="14"/>
      <c r="L46" s="14"/>
      <c r="M46" s="14"/>
    </row>
    <row r="47" spans="1:17" x14ac:dyDescent="0.2">
      <c r="C47" s="10" t="str">
        <f>IF(OR(ISBLANK(MH0l!C58),ISERROR(MH0l!C58)),"",MH0l!C58)</f>
        <v/>
      </c>
      <c r="D47" s="8" t="str">
        <f>IF(OR(ISBLANK(MH0l!D58),ISERROR(MH0l!D58)),"",MH0l!D58)</f>
        <v>d</v>
      </c>
      <c r="E47" s="521">
        <v>0.05</v>
      </c>
      <c r="F47" s="240"/>
      <c r="G47" s="478" t="str">
        <f>IF(OR(ISBLANK(MH0l!F58),ISERROR(MH0l!F58)),"",MH0l!F58)</f>
        <v xml:space="preserve">Diferencia a detectar </v>
      </c>
      <c r="H47" s="5"/>
      <c r="I47" s="5" t="str">
        <f>IF(OR(ISBLANK(MH0l!#REF!),ISERROR(MH0l!#REF!)),"",MH0l!#REF!)</f>
        <v/>
      </c>
      <c r="J47" s="14"/>
      <c r="K47" s="14"/>
      <c r="L47" s="14"/>
      <c r="M47" s="14"/>
    </row>
    <row r="48" spans="1:17" x14ac:dyDescent="0.2">
      <c r="C48" s="10" t="str">
        <f>IF(OR(ISBLANK(MH0l!C59),ISERROR(MH0l!C59)),"",MH0l!C59)</f>
        <v/>
      </c>
      <c r="D48" s="8" t="str">
        <f>IF(OR(ISBLANK(MH0l!D59),ISERROR(MH0l!D59)),"",MH0l!D59)</f>
        <v>Potencia</v>
      </c>
      <c r="E48" s="521">
        <v>0.9</v>
      </c>
      <c r="F48" s="240"/>
      <c r="G48" s="478" t="str">
        <f>IF(OR(ISBLANK(MH0l!F59),ISERROR(MH0l!F59)),"",MH0l!F59)</f>
        <v/>
      </c>
      <c r="H48" s="5" t="str">
        <f>IF(OR(ISBLANK(MH0l!G59),ISERROR(MH0l!G59)),"",MH0l!G59)</f>
        <v/>
      </c>
      <c r="I48" s="5"/>
      <c r="J48" s="14"/>
      <c r="K48" s="14"/>
      <c r="L48" s="14"/>
      <c r="M48" s="14"/>
    </row>
    <row r="49" spans="2:13" x14ac:dyDescent="0.2">
      <c r="C49" s="10" t="str">
        <f>IF(OR(ISBLANK(MH0l!C60),ISERROR(MH0l!C60)),"",MH0l!C60)</f>
        <v/>
      </c>
      <c r="D49" s="478" t="str">
        <f>IF(OR(ISBLANK(MH0l!D60),ISERROR(MH0l!D60)),"",MH0l!D60)</f>
        <v>Za</v>
      </c>
      <c r="E49" s="516">
        <f>IF(OR(ISBLANK(MH0l!E60),ISERROR(MH0l!E60)),"",MH0l!E60)</f>
        <v>1.9599639845400536</v>
      </c>
      <c r="F49" s="245"/>
      <c r="G49" s="237" t="str">
        <f>IF(OR(ISBLANK(MH0l!F60),ISERROR(MH0l!F60)),"",MH0l!F60)</f>
        <v/>
      </c>
      <c r="H49" s="5" t="str">
        <f>IF(OR(ISBLANK(MH0l!G60),ISERROR(MH0l!G60)),"",MH0l!G60)</f>
        <v/>
      </c>
      <c r="I49" s="5" t="str">
        <f>IF(OR(ISBLANK(MH0l!H60),ISERROR(MH0l!H60)),"",MH0l!H60)</f>
        <v/>
      </c>
      <c r="J49" s="14"/>
      <c r="K49" s="14"/>
      <c r="L49" s="14"/>
      <c r="M49" s="14"/>
    </row>
    <row r="50" spans="2:13" x14ac:dyDescent="0.2">
      <c r="C50" s="10" t="str">
        <f>IF(OR(ISBLANK(MH0l!C61),ISERROR(MH0l!C61)),"",MH0l!C61)</f>
        <v/>
      </c>
      <c r="D50" s="478" t="str">
        <f>IF(OR(ISBLANK(MH0l!D61),ISERROR(MH0l!D61)),"",MH0l!D61)</f>
        <v>Z2b</v>
      </c>
      <c r="E50" s="516">
        <f>IF(OR(ISBLANK(MH0l!E61),ISERROR(MH0l!E61)),"",MH0l!E61)</f>
        <v>1.2815515655446006</v>
      </c>
      <c r="F50" s="245"/>
      <c r="G50" s="237" t="str">
        <f>IF(OR(ISBLANK(MH0l!F61),ISERROR(MH0l!F61)),"",MH0l!F61)</f>
        <v/>
      </c>
      <c r="H50" s="10" t="str">
        <f>IF(OR(ISBLANK(MH0l!G61),ISERROR(MH0l!G61)),"",MH0l!G61)</f>
        <v/>
      </c>
      <c r="I50" s="14"/>
      <c r="J50" s="14"/>
      <c r="K50" s="14"/>
      <c r="L50" s="14"/>
      <c r="M50" s="14"/>
    </row>
    <row r="51" spans="2:13" x14ac:dyDescent="0.2">
      <c r="C51" s="10" t="str">
        <f>IF(OR(ISBLANK(MH0l!C62),ISERROR(MH0l!C62)),"",MH0l!C62)</f>
        <v/>
      </c>
      <c r="D51" s="478" t="str">
        <f>IF(OR(ISBLANK(MH0l!D62),ISERROR(MH0l!D62)),"",MH0l!D62)</f>
        <v>p1</v>
      </c>
      <c r="E51" s="516">
        <f>IF(OR(ISBLANK(MH0l!E62),ISERROR(MH0l!E62)),"",MH0l!E62)</f>
        <v>0.2</v>
      </c>
      <c r="F51" s="245"/>
      <c r="G51" s="8" t="str">
        <f>IF(OR(ISBLANK(MH0l!F62),ISERROR(MH0l!F62)),"",MH0l!F62)</f>
        <v>2 colas</v>
      </c>
      <c r="H51" s="10" t="str">
        <f>IF(OR(ISBLANK(MH0l!G62),ISERROR(MH0l!G62)),"",MH0l!G62)</f>
        <v/>
      </c>
      <c r="I51" s="14"/>
      <c r="J51" s="14"/>
      <c r="K51" s="14"/>
      <c r="L51" s="14"/>
      <c r="M51" s="14"/>
    </row>
    <row r="52" spans="2:13" x14ac:dyDescent="0.2">
      <c r="C52" s="10" t="str">
        <f>IF(OR(ISBLANK(MH0l!C63),ISERROR(MH0l!C63)),"",MH0l!C63)</f>
        <v/>
      </c>
      <c r="D52" s="8" t="str">
        <f>IF(OR(ISBLANK(MH0l!D63),ISERROR(MH0l!D63)),"",MH0l!D63)</f>
        <v>n</v>
      </c>
      <c r="E52" s="244">
        <f>IF(OR(ISBLANK(MH0l!E63),ISERROR(MH0l!E63)),"",MH0l!E63)</f>
        <v>589</v>
      </c>
      <c r="F52" s="244"/>
      <c r="G52" s="237" t="str">
        <f>IF(OR(ISBLANK(MH0l!#REF!),ISERROR(MH0l!#REF!)),"",MH0l!#REF!)</f>
        <v/>
      </c>
      <c r="H52" s="10" t="str">
        <f>IF(OR(ISBLANK(MH0l!G63),ISERROR(MH0l!G63)),"",MH0l!G63)</f>
        <v/>
      </c>
      <c r="I52" s="14"/>
      <c r="J52" s="14"/>
      <c r="K52" s="14"/>
      <c r="L52" s="14"/>
      <c r="M52" s="14"/>
    </row>
    <row r="53" spans="2:13" ht="13.5" thickBot="1" x14ac:dyDescent="0.25">
      <c r="C53" s="246" t="str">
        <f>IF(OR(ISBLANK(MH0l!C64),ISERROR(MH0l!C64)),"",MH0l!C64)</f>
        <v/>
      </c>
      <c r="D53" s="246" t="str">
        <f>IF(OR(ISBLANK(MH0l!D64),ISERROR(MH0l!D64)),"",MH0l!D64)</f>
        <v/>
      </c>
      <c r="E53" s="246" t="str">
        <f>IF(OR(ISBLANK(MH0l!E64),ISERROR(MH0l!E64)),"",MH0l!E64)</f>
        <v/>
      </c>
      <c r="F53" s="246"/>
      <c r="G53" s="246" t="str">
        <f>IF(OR(ISBLANK(MH0l!F64),ISERROR(MH0l!F64)),"",MH0l!F64)</f>
        <v/>
      </c>
      <c r="H53" s="246" t="str">
        <f>IF(OR(ISBLANK(MH0l!G64),ISERROR(MH0l!G64)),"",MH0l!G64)</f>
        <v/>
      </c>
      <c r="I53" s="13"/>
      <c r="J53" s="13"/>
      <c r="K53" s="13"/>
      <c r="L53" s="13"/>
      <c r="M53" s="14"/>
    </row>
    <row r="54" spans="2:13" x14ac:dyDescent="0.2">
      <c r="C54" s="93"/>
      <c r="D54" s="14"/>
      <c r="E54" s="24"/>
      <c r="F54" s="24"/>
      <c r="G54" s="239"/>
      <c r="H54" s="24"/>
      <c r="I54" s="14"/>
      <c r="J54" s="14"/>
      <c r="K54" s="14"/>
      <c r="L54" s="14"/>
      <c r="M54" s="14"/>
    </row>
    <row r="55" spans="2:13" x14ac:dyDescent="0.2">
      <c r="C55" s="93"/>
      <c r="D55" s="14"/>
      <c r="E55" s="24"/>
      <c r="F55" s="24"/>
      <c r="G55" s="239"/>
      <c r="H55" s="24"/>
      <c r="I55" s="14"/>
      <c r="J55" s="14"/>
      <c r="K55" s="14"/>
      <c r="L55" s="14"/>
      <c r="M55" s="14"/>
    </row>
    <row r="56" spans="2:13" x14ac:dyDescent="0.2">
      <c r="B56" s="20" t="str">
        <f>IF(OR(ISBLANK(MH0l!B56),ISERROR(MH0l!B56)),"",MH0l!B56)</f>
        <v/>
      </c>
      <c r="C56" s="93" t="str">
        <f>IF(OR(ISBLANK(MH0l!C56),ISERROR(MH0l!C56)),"",MH0l!C56)</f>
        <v/>
      </c>
      <c r="D56" s="234" t="str">
        <f>IF(OR(ISBLANK(MH0l!D56),ISERROR(MH0l!D56)),"",MH0l!D56)</f>
        <v/>
      </c>
      <c r="E56" s="14" t="str">
        <f>IF(OR(ISBLANK(MH0l!E56),ISERROR(MH0l!E56)),"",MH0l!E56)</f>
        <v/>
      </c>
      <c r="F56" s="14"/>
      <c r="G56" s="14" t="str">
        <f>IF(OR(ISBLANK(MH0l!F56),ISERROR(MH0l!F56)),"",MH0l!F56)</f>
        <v/>
      </c>
      <c r="H56" s="14" t="str">
        <f>IF(OR(ISBLANK(MH0l!G56),ISERROR(MH0l!G56)),"",MH0l!G56)</f>
        <v/>
      </c>
      <c r="I56" s="14" t="str">
        <f>IF(OR(ISBLANK(MH0l!H56),ISERROR(MH0l!H56)),"",MH0l!H56)</f>
        <v/>
      </c>
      <c r="J56" s="14" t="str">
        <f>IF(OR(ISBLANK(MH0l!I56),ISERROR(MH0l!I56)),"",MH0l!I56)</f>
        <v/>
      </c>
      <c r="K56" s="14"/>
      <c r="L56" s="14"/>
      <c r="M56" s="14"/>
    </row>
    <row r="57" spans="2:13" s="14" customFormat="1" x14ac:dyDescent="0.2">
      <c r="B57" s="210"/>
      <c r="C57" s="210"/>
      <c r="D57" s="18"/>
      <c r="E57" s="18"/>
      <c r="F57" s="18"/>
      <c r="G57" s="18"/>
    </row>
    <row r="58" spans="2:13" s="14" customFormat="1" ht="19.5" customHeight="1" x14ac:dyDescent="0.2">
      <c r="B58" s="18"/>
      <c r="C58" s="210"/>
      <c r="G58" s="203"/>
      <c r="H58" s="159"/>
    </row>
    <row r="59" spans="2:13" s="14" customFormat="1" x14ac:dyDescent="0.2">
      <c r="B59" s="18"/>
      <c r="C59" s="448"/>
      <c r="D59" s="203"/>
      <c r="E59" s="203"/>
      <c r="F59" s="203"/>
      <c r="G59" s="203"/>
      <c r="H59" s="159"/>
    </row>
    <row r="60" spans="2:13" s="14" customFormat="1" x14ac:dyDescent="0.2">
      <c r="B60" s="18"/>
      <c r="C60" s="449"/>
      <c r="D60" s="203"/>
      <c r="E60" s="203"/>
      <c r="F60" s="203"/>
      <c r="G60" s="203"/>
      <c r="H60" s="159"/>
      <c r="I60" s="98"/>
    </row>
    <row r="61" spans="2:13" s="14" customFormat="1" x14ac:dyDescent="0.2">
      <c r="B61" s="18"/>
      <c r="C61" s="448"/>
      <c r="D61" s="203"/>
      <c r="E61" s="203"/>
      <c r="F61" s="203"/>
      <c r="G61" s="159"/>
      <c r="H61" s="159"/>
    </row>
    <row r="62" spans="2:13" s="14" customFormat="1" x14ac:dyDescent="0.2">
      <c r="B62" s="18"/>
      <c r="C62" s="448"/>
      <c r="D62" s="203"/>
      <c r="E62" s="203"/>
      <c r="F62" s="203"/>
      <c r="G62" s="159"/>
      <c r="H62" s="159"/>
    </row>
    <row r="63" spans="2:13" s="14" customFormat="1" x14ac:dyDescent="0.2">
      <c r="B63" s="18"/>
      <c r="C63" s="210"/>
      <c r="D63" s="159"/>
      <c r="E63" s="159"/>
      <c r="F63" s="159"/>
      <c r="G63" s="159"/>
      <c r="H63" s="159"/>
    </row>
    <row r="64" spans="2:13" s="14" customFormat="1" ht="9" customHeight="1" x14ac:dyDescent="0.2">
      <c r="B64" s="18"/>
      <c r="C64" s="491"/>
      <c r="D64" s="491"/>
      <c r="E64" s="491"/>
      <c r="F64" s="491"/>
      <c r="G64" s="491"/>
      <c r="H64" s="491"/>
    </row>
    <row r="65" spans="2:8" s="14" customFormat="1" ht="9" customHeight="1" x14ac:dyDescent="0.2">
      <c r="B65" s="18"/>
      <c r="C65" s="491"/>
      <c r="D65" s="491"/>
      <c r="E65" s="491"/>
      <c r="F65" s="491"/>
      <c r="G65" s="491"/>
      <c r="H65" s="491"/>
    </row>
    <row r="66" spans="2:8" s="14" customFormat="1" x14ac:dyDescent="0.2">
      <c r="B66" s="18"/>
      <c r="C66" s="491"/>
      <c r="D66" s="491"/>
      <c r="E66" s="491"/>
      <c r="F66" s="491"/>
      <c r="G66" s="491"/>
      <c r="H66" s="491"/>
    </row>
    <row r="67" spans="2:8" s="14" customFormat="1" x14ac:dyDescent="0.2">
      <c r="B67" s="18"/>
      <c r="C67" s="93"/>
    </row>
    <row r="68" spans="2:8" s="14" customFormat="1" x14ac:dyDescent="0.2">
      <c r="B68" s="18"/>
      <c r="C68" s="210"/>
    </row>
    <row r="69" spans="2:8" s="14" customFormat="1" x14ac:dyDescent="0.2">
      <c r="B69" s="18"/>
      <c r="C69" s="450"/>
    </row>
    <row r="70" spans="2:8" s="14" customFormat="1" x14ac:dyDescent="0.2">
      <c r="B70" s="18"/>
    </row>
    <row r="71" spans="2:8" s="14" customFormat="1" x14ac:dyDescent="0.2">
      <c r="B71" s="18"/>
      <c r="C71" s="93"/>
    </row>
    <row r="72" spans="2:8" s="14" customFormat="1" x14ac:dyDescent="0.2">
      <c r="B72" s="18"/>
      <c r="C72" s="93"/>
    </row>
  </sheetData>
  <sheetProtection algorithmName="SHA-512" hashValue="Z3BPUlD7RQR+lo1uUrVV7VBUS6BbIgfqdZ4RINQF4dzjJlmM5lRU6am/ZE8rkiY+mZLBn3i8IQ+IT1e7U6+opQ==" saltValue="idA9EEuEE4V626FFo8wG0w==" spinCount="100000" sheet="1" objects="1" scenarios="1" formatCells="0" formatColumns="0"/>
  <mergeCells count="3">
    <mergeCell ref="J21:L21"/>
    <mergeCell ref="C64:H66"/>
    <mergeCell ref="A2:D2"/>
  </mergeCells>
  <phoneticPr fontId="3" type="noConversion"/>
  <conditionalFormatting sqref="E7:F7">
    <cfRule type="cellIs" dxfId="7" priority="7" stopIfTrue="1" operator="lessThan">
      <formula>$E$8</formula>
    </cfRule>
  </conditionalFormatting>
  <conditionalFormatting sqref="E8:F8">
    <cfRule type="cellIs" dxfId="6" priority="8" stopIfTrue="1" operator="greaterThanOrEqual">
      <formula>$E$7</formula>
    </cfRule>
  </conditionalFormatting>
  <conditionalFormatting sqref="I23:I27">
    <cfRule type="expression" dxfId="5" priority="4">
      <formula>I23="No"</formula>
    </cfRule>
  </conditionalFormatting>
  <conditionalFormatting sqref="N23:Q27 J23:L27">
    <cfRule type="expression" dxfId="4" priority="2">
      <formula>$I23:$I27="No"</formula>
    </cfRule>
  </conditionalFormatting>
  <conditionalFormatting sqref="E32">
    <cfRule type="expression" dxfId="3" priority="1">
      <formula>$E$32&lt;0</formula>
    </cfRule>
  </conditionalFormatting>
  <hyperlinks>
    <hyperlink ref="A2:D2" location="Presentación!A1" display="&lt; Presentación"/>
  </hyperlinks>
  <pageMargins left="0.75" right="0.75" top="1" bottom="1" header="0" footer="0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36"/>
  <sheetViews>
    <sheetView showGridLines="0" workbookViewId="0">
      <selection activeCell="D5" sqref="D5:H7"/>
    </sheetView>
  </sheetViews>
  <sheetFormatPr baseColWidth="10" defaultRowHeight="12.75" x14ac:dyDescent="0.2"/>
  <cols>
    <col min="1" max="1" width="6.5703125" style="372" customWidth="1"/>
    <col min="2" max="2" width="6.42578125" style="372" customWidth="1"/>
    <col min="3" max="3" width="8.7109375" style="372" customWidth="1"/>
    <col min="4" max="16384" width="11.42578125" style="372"/>
  </cols>
  <sheetData>
    <row r="2" spans="1:8" x14ac:dyDescent="0.2">
      <c r="A2" s="492" t="s">
        <v>211</v>
      </c>
      <c r="B2" s="492"/>
      <c r="C2" s="492"/>
    </row>
    <row r="3" spans="1:8" x14ac:dyDescent="0.2">
      <c r="D3" s="466"/>
      <c r="F3" s="466"/>
    </row>
    <row r="4" spans="1:8" x14ac:dyDescent="0.2">
      <c r="D4" s="467"/>
      <c r="E4" s="467"/>
    </row>
    <row r="5" spans="1:8" ht="15.75" customHeight="1" x14ac:dyDescent="0.2">
      <c r="D5" s="493" t="s">
        <v>236</v>
      </c>
      <c r="E5" s="493"/>
      <c r="F5" s="493"/>
      <c r="G5" s="493"/>
      <c r="H5" s="493"/>
    </row>
    <row r="6" spans="1:8" ht="12.75" customHeight="1" x14ac:dyDescent="0.2">
      <c r="D6" s="493"/>
      <c r="E6" s="493"/>
      <c r="F6" s="493"/>
      <c r="G6" s="493"/>
      <c r="H6" s="493"/>
    </row>
    <row r="7" spans="1:8" ht="12.75" customHeight="1" x14ac:dyDescent="0.2">
      <c r="D7" s="494"/>
      <c r="E7" s="494"/>
      <c r="F7" s="494"/>
      <c r="G7" s="494"/>
      <c r="H7" s="494"/>
    </row>
    <row r="8" spans="1:8" ht="13.5" x14ac:dyDescent="0.2">
      <c r="D8" s="468"/>
      <c r="E8" s="468"/>
      <c r="F8" s="468"/>
      <c r="G8" s="468"/>
      <c r="H8" s="468"/>
    </row>
    <row r="9" spans="1:8" x14ac:dyDescent="0.2">
      <c r="D9" s="469" t="s">
        <v>212</v>
      </c>
    </row>
    <row r="10" spans="1:8" x14ac:dyDescent="0.2">
      <c r="D10" s="372" t="s">
        <v>213</v>
      </c>
    </row>
    <row r="11" spans="1:8" x14ac:dyDescent="0.2">
      <c r="D11" s="375" t="s">
        <v>214</v>
      </c>
    </row>
    <row r="12" spans="1:8" x14ac:dyDescent="0.2">
      <c r="D12" s="372" t="s">
        <v>215</v>
      </c>
    </row>
    <row r="13" spans="1:8" x14ac:dyDescent="0.2">
      <c r="D13" s="372" t="s">
        <v>216</v>
      </c>
    </row>
    <row r="15" spans="1:8" x14ac:dyDescent="0.2">
      <c r="D15" s="372" t="s">
        <v>217</v>
      </c>
    </row>
    <row r="16" spans="1:8" x14ac:dyDescent="0.2">
      <c r="D16" s="372" t="s">
        <v>218</v>
      </c>
    </row>
    <row r="18" spans="4:4" x14ac:dyDescent="0.2">
      <c r="D18" s="372" t="s">
        <v>219</v>
      </c>
    </row>
    <row r="19" spans="4:4" x14ac:dyDescent="0.2">
      <c r="D19" s="372" t="s">
        <v>220</v>
      </c>
    </row>
    <row r="20" spans="4:4" x14ac:dyDescent="0.2">
      <c r="D20" s="372" t="s">
        <v>221</v>
      </c>
    </row>
    <row r="21" spans="4:4" x14ac:dyDescent="0.2">
      <c r="D21" s="372" t="s">
        <v>222</v>
      </c>
    </row>
    <row r="23" spans="4:4" x14ac:dyDescent="0.2">
      <c r="D23" s="470" t="s">
        <v>223</v>
      </c>
    </row>
    <row r="24" spans="4:4" x14ac:dyDescent="0.2">
      <c r="D24" s="372" t="s">
        <v>224</v>
      </c>
    </row>
    <row r="25" spans="4:4" x14ac:dyDescent="0.2">
      <c r="D25" s="372" t="s">
        <v>225</v>
      </c>
    </row>
    <row r="27" spans="4:4" x14ac:dyDescent="0.2">
      <c r="D27" s="470" t="s">
        <v>226</v>
      </c>
    </row>
    <row r="28" spans="4:4" x14ac:dyDescent="0.2">
      <c r="D28" s="372" t="s">
        <v>227</v>
      </c>
    </row>
    <row r="29" spans="4:4" x14ac:dyDescent="0.2">
      <c r="D29" s="372" t="s">
        <v>228</v>
      </c>
    </row>
    <row r="32" spans="4:4" x14ac:dyDescent="0.2">
      <c r="D32" s="469" t="s">
        <v>229</v>
      </c>
    </row>
    <row r="33" spans="4:4" x14ac:dyDescent="0.2">
      <c r="D33" s="375" t="s">
        <v>230</v>
      </c>
    </row>
    <row r="34" spans="4:4" x14ac:dyDescent="0.2">
      <c r="D34" s="372" t="s">
        <v>231</v>
      </c>
    </row>
    <row r="35" spans="4:4" x14ac:dyDescent="0.2">
      <c r="D35" s="372" t="s">
        <v>232</v>
      </c>
    </row>
    <row r="36" spans="4:4" x14ac:dyDescent="0.2">
      <c r="D36" s="372" t="s">
        <v>233</v>
      </c>
    </row>
  </sheetData>
  <sheetProtection algorithmName="SHA-512" hashValue="qIoFswFynGqQ/5LKoPZ8QUE76plEdalQcDIqgTMm0AJEwEfrUPGi1UGsdpz4oKzE8CMdpkL8y1Fx8wPu3jJV/A==" saltValue="5M1UpQKHnOcOdeaD0Rz3qw==" spinCount="100000" sheet="1" objects="1" scenarios="1"/>
  <mergeCells count="2">
    <mergeCell ref="A2:C2"/>
    <mergeCell ref="D5:H7"/>
  </mergeCells>
  <hyperlinks>
    <hyperlink ref="A2:C2" location="Presentación!A1" display="Presentación"/>
  </hyperlink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pageSetUpPr fitToPage="1"/>
  </sheetPr>
  <dimension ref="A1:Y117"/>
  <sheetViews>
    <sheetView showGridLines="0" workbookViewId="0">
      <pane ySplit="4" topLeftCell="A31" activePane="bottomLeft" state="frozenSplit"/>
      <selection activeCell="H52" sqref="H52"/>
      <selection pane="bottomLeft" activeCell="E46" sqref="E46"/>
    </sheetView>
  </sheetViews>
  <sheetFormatPr baseColWidth="10" defaultRowHeight="12.75" x14ac:dyDescent="0.2"/>
  <cols>
    <col min="1" max="1" width="2.5703125" style="12" customWidth="1"/>
    <col min="2" max="2" width="4" style="20" customWidth="1"/>
    <col min="3" max="3" width="7" style="11" customWidth="1"/>
    <col min="4" max="4" width="13.42578125" style="12" customWidth="1"/>
    <col min="5" max="5" width="12.42578125" style="12" customWidth="1"/>
    <col min="6" max="6" width="12.28515625" style="12" bestFit="1" customWidth="1"/>
    <col min="7" max="7" width="14" style="12" customWidth="1"/>
    <col min="8" max="8" width="8.7109375" style="12" customWidth="1"/>
    <col min="9" max="9" width="13.85546875" style="12" customWidth="1"/>
    <col min="10" max="10" width="9.85546875" style="12" customWidth="1"/>
    <col min="11" max="11" width="12.85546875" style="12" customWidth="1"/>
    <col min="12" max="12" width="8.7109375" style="12" customWidth="1"/>
    <col min="13" max="13" width="12.7109375" style="12" bestFit="1" customWidth="1"/>
    <col min="14" max="14" width="15" style="12" customWidth="1"/>
    <col min="15" max="15" width="12.7109375" style="12" bestFit="1" customWidth="1"/>
    <col min="16" max="16" width="11.42578125" style="12"/>
    <col min="17" max="17" width="12.42578125" style="12" bestFit="1" customWidth="1"/>
    <col min="18" max="16384" width="11.42578125" style="12"/>
  </cols>
  <sheetData>
    <row r="1" spans="1:19" s="99" customFormat="1" ht="15.75" x14ac:dyDescent="0.25">
      <c r="C1" s="100"/>
      <c r="D1" s="101"/>
      <c r="E1" s="102"/>
      <c r="F1" s="102"/>
      <c r="G1" s="103"/>
      <c r="H1" s="103"/>
      <c r="I1" s="104" t="s">
        <v>1</v>
      </c>
      <c r="J1" s="105" t="s">
        <v>2</v>
      </c>
      <c r="K1" s="103"/>
      <c r="L1" s="106" t="s">
        <v>3</v>
      </c>
      <c r="M1" s="103"/>
      <c r="N1" s="103"/>
    </row>
    <row r="2" spans="1:19" s="102" customFormat="1" ht="15.75" x14ac:dyDescent="0.25">
      <c r="B2" s="99" t="s">
        <v>4</v>
      </c>
      <c r="C2" s="107"/>
      <c r="D2" s="100"/>
      <c r="E2" s="100"/>
      <c r="F2" s="100"/>
      <c r="G2" s="108"/>
      <c r="H2" s="105"/>
      <c r="I2" s="109"/>
      <c r="J2" s="110" t="s">
        <v>5</v>
      </c>
      <c r="K2" s="109"/>
      <c r="L2" s="106" t="s">
        <v>3</v>
      </c>
      <c r="M2" s="105"/>
      <c r="N2" s="105"/>
    </row>
    <row r="3" spans="1:19" s="102" customFormat="1" ht="15.75" x14ac:dyDescent="0.25">
      <c r="A3" s="100"/>
      <c r="B3" s="100" t="s">
        <v>6</v>
      </c>
      <c r="C3" s="107"/>
      <c r="D3" s="100"/>
      <c r="E3" s="100"/>
      <c r="F3" s="100"/>
      <c r="G3" s="108"/>
      <c r="H3" s="105"/>
      <c r="I3" s="109"/>
      <c r="J3" s="105" t="s">
        <v>7</v>
      </c>
      <c r="K3" s="109"/>
      <c r="L3" s="106"/>
      <c r="M3" s="105"/>
      <c r="N3" s="105"/>
    </row>
    <row r="4" spans="1:19" s="102" customFormat="1" ht="15.75" x14ac:dyDescent="0.25">
      <c r="A4" s="100"/>
      <c r="B4" s="100" t="s">
        <v>117</v>
      </c>
      <c r="C4" s="100"/>
      <c r="D4" s="100"/>
      <c r="E4" s="100"/>
      <c r="F4" s="100"/>
      <c r="G4" s="108"/>
      <c r="H4" s="105"/>
      <c r="I4" s="109"/>
      <c r="J4" s="401">
        <v>43625</v>
      </c>
      <c r="K4" s="109"/>
      <c r="L4" s="106"/>
      <c r="M4" s="105"/>
      <c r="N4" s="105"/>
    </row>
    <row r="5" spans="1:19" ht="11.25" customHeight="1" x14ac:dyDescent="0.2">
      <c r="A5" s="59"/>
      <c r="B5" s="10"/>
    </row>
    <row r="6" spans="1:19" ht="12.75" customHeight="1" x14ac:dyDescent="0.2">
      <c r="A6" s="59"/>
      <c r="B6" s="10">
        <v>1</v>
      </c>
      <c r="C6" s="111" t="s">
        <v>8</v>
      </c>
      <c r="G6" s="14"/>
      <c r="H6" s="14"/>
      <c r="I6" s="14"/>
      <c r="J6" s="14"/>
      <c r="K6" s="14"/>
      <c r="L6" s="14"/>
      <c r="M6" s="14"/>
      <c r="N6" s="14"/>
      <c r="O6" s="14"/>
    </row>
    <row r="7" spans="1:19" ht="12.75" customHeight="1" x14ac:dyDescent="0.2">
      <c r="A7" s="15"/>
      <c r="B7" s="16"/>
      <c r="C7" s="21" t="s">
        <v>99</v>
      </c>
      <c r="D7" s="17"/>
      <c r="E7" s="17"/>
      <c r="H7" s="18" t="s">
        <v>9</v>
      </c>
      <c r="I7" s="19" t="s">
        <v>10</v>
      </c>
      <c r="J7" s="14"/>
      <c r="K7" s="14"/>
      <c r="L7" s="14"/>
      <c r="M7" s="14"/>
      <c r="N7" s="14"/>
      <c r="O7" s="14"/>
      <c r="P7" s="39"/>
      <c r="Q7" s="40"/>
      <c r="R7" s="29"/>
    </row>
    <row r="8" spans="1:19" x14ac:dyDescent="0.2">
      <c r="D8" s="21" t="s">
        <v>11</v>
      </c>
      <c r="E8" s="112">
        <f>Inferencias!E7</f>
        <v>84</v>
      </c>
      <c r="H8" s="14"/>
      <c r="I8" s="113" t="s">
        <v>11</v>
      </c>
      <c r="J8" s="113" t="s">
        <v>12</v>
      </c>
      <c r="K8" s="114" t="s">
        <v>13</v>
      </c>
      <c r="L8" s="113" t="s">
        <v>14</v>
      </c>
      <c r="M8" s="113" t="s">
        <v>15</v>
      </c>
      <c r="N8" s="113" t="s">
        <v>16</v>
      </c>
      <c r="O8" s="113" t="s">
        <v>17</v>
      </c>
      <c r="P8" s="39"/>
      <c r="Q8" s="115" t="s">
        <v>9</v>
      </c>
      <c r="R8" s="116">
        <f>E12/100</f>
        <v>0.95</v>
      </c>
    </row>
    <row r="9" spans="1:19" x14ac:dyDescent="0.2">
      <c r="D9" s="21" t="s">
        <v>12</v>
      </c>
      <c r="E9" s="112">
        <f>Inferencias!E8</f>
        <v>10</v>
      </c>
      <c r="H9" s="224"/>
      <c r="I9" s="68">
        <f>n</f>
        <v>84</v>
      </c>
      <c r="J9" s="68">
        <f>x</f>
        <v>10</v>
      </c>
      <c r="K9" s="95">
        <f>p</f>
        <v>0.11904761904761904</v>
      </c>
      <c r="L9" s="117">
        <f>F27</f>
        <v>7.4732703008286272E-2</v>
      </c>
      <c r="M9" s="118">
        <f>F25</f>
        <v>5.8589492544666638E-2</v>
      </c>
      <c r="N9" s="118">
        <f>F26</f>
        <v>0.20805489856123918</v>
      </c>
      <c r="O9" s="113" t="s">
        <v>18</v>
      </c>
      <c r="P9" s="29"/>
      <c r="Q9" s="29"/>
      <c r="R9" s="119">
        <f>IF(OR(E9&lt;5,E10&lt;5),0,IF(OR(E9&lt;29,E10&lt;20),1,2))</f>
        <v>1</v>
      </c>
    </row>
    <row r="10" spans="1:19" x14ac:dyDescent="0.2">
      <c r="D10" s="28" t="s">
        <v>19</v>
      </c>
      <c r="E10" s="21">
        <f>E8-E9</f>
        <v>74</v>
      </c>
      <c r="H10" s="14"/>
      <c r="I10" s="24"/>
      <c r="J10" s="25"/>
      <c r="K10" s="26"/>
      <c r="L10" s="26"/>
      <c r="M10" s="14"/>
      <c r="N10" s="14"/>
      <c r="O10" s="14"/>
      <c r="Q10" s="115" t="s">
        <v>9</v>
      </c>
      <c r="R10" s="29" t="s">
        <v>20</v>
      </c>
      <c r="S10" s="29"/>
    </row>
    <row r="11" spans="1:19" x14ac:dyDescent="0.2">
      <c r="F11" s="15"/>
      <c r="Q11" s="29"/>
      <c r="R11" s="29" t="s">
        <v>21</v>
      </c>
      <c r="S11" s="30">
        <f>BINOMDIST(x,n,F26,1)</f>
        <v>2.500000000000014E-2</v>
      </c>
    </row>
    <row r="12" spans="1:19" x14ac:dyDescent="0.2">
      <c r="D12" s="21" t="s">
        <v>22</v>
      </c>
      <c r="E12" s="473">
        <f>IF(AND(H14&lt;1,H14&gt;0),H14*100,H14)</f>
        <v>95</v>
      </c>
      <c r="G12" s="32" t="str">
        <f>IF(OR(E12&lt;1,E12&gt;100)," &lt; Introduzca un valor entre 0 y 1, o bien entre 1 y 100","")</f>
        <v/>
      </c>
      <c r="K12" s="29"/>
      <c r="Q12" s="29"/>
      <c r="R12" s="29" t="s">
        <v>23</v>
      </c>
      <c r="S12" s="30">
        <f>(1-BINOMDIST(x,n,F25,1))+BINOMDIST(x,n,F25,0)</f>
        <v>2.5000000000000088E-2</v>
      </c>
    </row>
    <row r="13" spans="1:19" x14ac:dyDescent="0.2">
      <c r="D13" s="33" t="s">
        <v>0</v>
      </c>
      <c r="E13" s="242">
        <f>NORMSINV(R8+(1-R8)/2)</f>
        <v>1.9599639845400536</v>
      </c>
      <c r="K13" s="29"/>
      <c r="P13" s="121"/>
      <c r="Q13" s="40"/>
      <c r="R13" s="29"/>
    </row>
    <row r="14" spans="1:19" x14ac:dyDescent="0.2">
      <c r="E14" s="236"/>
      <c r="H14" s="472">
        <f>Inferencias!E11</f>
        <v>0.95</v>
      </c>
      <c r="K14" s="29"/>
      <c r="P14" s="121"/>
      <c r="Q14" s="40"/>
      <c r="R14" s="29"/>
    </row>
    <row r="15" spans="1:19" x14ac:dyDescent="0.2">
      <c r="D15" s="21"/>
      <c r="E15" s="236"/>
      <c r="K15" s="29"/>
      <c r="P15" s="121"/>
      <c r="Q15" s="40"/>
      <c r="R15" s="29"/>
    </row>
    <row r="16" spans="1:19" x14ac:dyDescent="0.2">
      <c r="C16" s="34"/>
      <c r="D16" s="35"/>
      <c r="F16" s="36"/>
      <c r="G16" s="37"/>
      <c r="H16" s="38"/>
      <c r="I16" s="39"/>
      <c r="J16" s="40"/>
      <c r="K16" s="29"/>
    </row>
    <row r="17" spans="1:25" x14ac:dyDescent="0.2">
      <c r="A17" s="15"/>
      <c r="B17" s="41">
        <v>2</v>
      </c>
      <c r="C17" s="5" t="s">
        <v>24</v>
      </c>
      <c r="G17" s="37"/>
      <c r="H17" s="38"/>
      <c r="I17" s="29"/>
      <c r="J17" s="40"/>
      <c r="K17" s="29"/>
    </row>
    <row r="18" spans="1:25" x14ac:dyDescent="0.2">
      <c r="D18" s="122" t="s">
        <v>13</v>
      </c>
      <c r="E18" s="123">
        <f>E9/E8</f>
        <v>0.11904761904761904</v>
      </c>
      <c r="F18" s="124">
        <f>E18</f>
        <v>0.11904761904761904</v>
      </c>
      <c r="G18" s="125"/>
      <c r="H18" s="126"/>
      <c r="I18" s="29"/>
      <c r="J18" s="29"/>
      <c r="K18" s="29"/>
    </row>
    <row r="19" spans="1:25" x14ac:dyDescent="0.2">
      <c r="D19" s="48" t="s">
        <v>25</v>
      </c>
      <c r="E19" s="49">
        <f>1-E18</f>
        <v>0.88095238095238093</v>
      </c>
      <c r="F19" s="50">
        <f>E19</f>
        <v>0.88095238095238093</v>
      </c>
      <c r="G19" s="51"/>
      <c r="H19" s="52"/>
      <c r="I19" s="29"/>
      <c r="J19" s="29"/>
      <c r="K19" s="29"/>
    </row>
    <row r="20" spans="1:25" x14ac:dyDescent="0.2">
      <c r="C20" s="34"/>
      <c r="D20" s="53"/>
      <c r="E20" s="54"/>
      <c r="G20" s="47"/>
      <c r="H20" s="38"/>
      <c r="I20" s="39"/>
      <c r="J20" s="40"/>
      <c r="K20" s="29"/>
      <c r="V20" s="402"/>
      <c r="W20" s="402"/>
      <c r="X20" s="402"/>
      <c r="Y20" s="402"/>
    </row>
    <row r="21" spans="1:25" x14ac:dyDescent="0.2">
      <c r="B21" s="10">
        <v>3</v>
      </c>
      <c r="C21" s="34" t="s">
        <v>98</v>
      </c>
      <c r="D21" s="53"/>
      <c r="E21" s="54"/>
      <c r="G21" s="47"/>
      <c r="H21" s="38"/>
      <c r="V21" s="402"/>
      <c r="W21" s="402"/>
      <c r="X21" s="402"/>
      <c r="Y21" s="402"/>
    </row>
    <row r="22" spans="1:25" ht="5.25" customHeight="1" x14ac:dyDescent="0.2">
      <c r="B22" s="10"/>
      <c r="C22" s="34"/>
      <c r="D22" s="53"/>
      <c r="E22" s="54"/>
      <c r="G22" s="47"/>
      <c r="H22" s="38"/>
      <c r="V22" s="403"/>
      <c r="W22" s="404"/>
      <c r="X22" s="405"/>
      <c r="Y22" s="402" t="str">
        <f>IF(OR(ISBLANK(MH0l!#REF!),ISERROR(MH0l!#REF!)),"",MH0l!#REF!)</f>
        <v/>
      </c>
    </row>
    <row r="23" spans="1:25" x14ac:dyDescent="0.2">
      <c r="B23" s="59"/>
      <c r="C23" s="10" t="s">
        <v>26</v>
      </c>
      <c r="D23" s="5" t="s">
        <v>27</v>
      </c>
      <c r="E23" s="54"/>
      <c r="G23" s="37"/>
      <c r="S23" s="14"/>
      <c r="T23" s="14"/>
      <c r="U23" s="14"/>
      <c r="V23" s="402"/>
      <c r="W23" s="402"/>
      <c r="X23" s="402"/>
      <c r="Y23" s="402" t="str">
        <f>IF(OR(ISBLANK(MH0l!#REF!),ISERROR(MH0l!#REF!)),"",MH0l!#REF!)</f>
        <v/>
      </c>
    </row>
    <row r="24" spans="1:25" x14ac:dyDescent="0.2">
      <c r="A24" s="59"/>
      <c r="B24" s="10"/>
      <c r="C24" s="34"/>
      <c r="D24" s="14"/>
      <c r="J24" s="68"/>
      <c r="K24" s="68" t="s">
        <v>17</v>
      </c>
      <c r="L24" s="113" t="s">
        <v>88</v>
      </c>
      <c r="M24" s="113" t="s">
        <v>89</v>
      </c>
      <c r="N24" s="113" t="s">
        <v>14</v>
      </c>
      <c r="O24" s="68" t="s">
        <v>90</v>
      </c>
      <c r="P24" s="113" t="str">
        <f>L24</f>
        <v>IC(-)</v>
      </c>
      <c r="Q24" s="113" t="str">
        <f>M24</f>
        <v>IC(+)</v>
      </c>
      <c r="R24" s="113" t="str">
        <f>N24</f>
        <v>d</v>
      </c>
      <c r="S24" s="68" t="s">
        <v>90</v>
      </c>
      <c r="T24" s="68"/>
      <c r="U24" s="68"/>
      <c r="V24" s="406"/>
      <c r="W24" s="402"/>
      <c r="X24" s="402"/>
      <c r="Y24" s="402"/>
    </row>
    <row r="25" spans="1:25" x14ac:dyDescent="0.2">
      <c r="A25" s="15"/>
      <c r="B25" s="41"/>
      <c r="C25" s="5"/>
      <c r="D25" s="60" t="str">
        <f>"Confianza: "&amp;$R$8*100&amp;"%"</f>
        <v>Confianza: 95%</v>
      </c>
      <c r="E25" s="61" t="s">
        <v>28</v>
      </c>
      <c r="F25" s="62">
        <f>IF(ISERROR(J82),"-",J82)</f>
        <v>5.8589492544666638E-2</v>
      </c>
      <c r="G25" s="63">
        <f>F25</f>
        <v>5.8589492544666638E-2</v>
      </c>
      <c r="H25" s="64"/>
      <c r="J25" s="14"/>
      <c r="K25" s="14" t="s">
        <v>76</v>
      </c>
      <c r="L25" s="26">
        <f>F25</f>
        <v>5.8589492544666638E-2</v>
      </c>
      <c r="M25" s="26">
        <f>F26</f>
        <v>0.20805489856123918</v>
      </c>
      <c r="N25" s="26">
        <f>F27</f>
        <v>7.4732703008286272E-2</v>
      </c>
      <c r="O25" s="14" t="s">
        <v>91</v>
      </c>
      <c r="P25" s="218">
        <f>G25</f>
        <v>5.8589492544666638E-2</v>
      </c>
      <c r="Q25" s="218">
        <f>G26</f>
        <v>0.20805489856123918</v>
      </c>
      <c r="R25" s="218">
        <f>G27</f>
        <v>7.4732703008286272E-2</v>
      </c>
      <c r="S25" s="219">
        <v>1</v>
      </c>
      <c r="U25" s="12" t="s">
        <v>91</v>
      </c>
      <c r="V25" s="407"/>
      <c r="W25" s="408"/>
      <c r="X25" s="408"/>
      <c r="Y25" s="408"/>
    </row>
    <row r="26" spans="1:25" x14ac:dyDescent="0.2">
      <c r="A26" s="59"/>
      <c r="B26" s="10"/>
      <c r="C26" s="34"/>
      <c r="D26" s="14"/>
      <c r="E26" s="65" t="s">
        <v>29</v>
      </c>
      <c r="F26" s="66">
        <f>IF(ISERROR(K82),"-",K82)</f>
        <v>0.20805489856123918</v>
      </c>
      <c r="G26" s="67">
        <f>F26</f>
        <v>0.20805489856123918</v>
      </c>
      <c r="H26" s="68"/>
      <c r="J26" s="14"/>
      <c r="K26" s="14" t="s">
        <v>77</v>
      </c>
      <c r="L26" s="26">
        <f>H86</f>
        <v>6.1657480013023062E-2</v>
      </c>
      <c r="M26" s="26">
        <f>I86</f>
        <v>0.21247751050533376</v>
      </c>
      <c r="N26" s="26">
        <f>E89</f>
        <v>7.5410015246155343E-2</v>
      </c>
      <c r="O26" s="14" t="str">
        <f>IF(S26,$U$25,$U$26)</f>
        <v>Si</v>
      </c>
      <c r="P26" s="218">
        <f t="shared" ref="P26:R29" si="0">L26</f>
        <v>6.1657480013023062E-2</v>
      </c>
      <c r="Q26" s="218">
        <f t="shared" si="0"/>
        <v>0.21247751050533376</v>
      </c>
      <c r="R26" s="218">
        <f t="shared" si="0"/>
        <v>7.5410015246155343E-2</v>
      </c>
      <c r="S26" s="220">
        <f>IF(AND(x&gt;5,E10&gt;5),1,0)</f>
        <v>1</v>
      </c>
      <c r="U26" s="12" t="s">
        <v>92</v>
      </c>
      <c r="V26" s="402"/>
      <c r="W26" s="407"/>
      <c r="X26" s="407"/>
      <c r="Y26" s="407"/>
    </row>
    <row r="27" spans="1:25" x14ac:dyDescent="0.2">
      <c r="B27" s="10"/>
      <c r="C27" s="5"/>
      <c r="D27" s="68"/>
      <c r="E27" s="33" t="s">
        <v>30</v>
      </c>
      <c r="F27" s="69">
        <f>IF(ISNUMBER(F26),(F26-F25)/2,"-")</f>
        <v>7.4732703008286272E-2</v>
      </c>
      <c r="G27" s="67">
        <f>F27</f>
        <v>7.4732703008286272E-2</v>
      </c>
      <c r="H27" s="70"/>
      <c r="J27" s="14"/>
      <c r="K27" s="14" t="s">
        <v>78</v>
      </c>
      <c r="L27" s="26">
        <f>H92</f>
        <v>4.3841212712045996E-2</v>
      </c>
      <c r="M27" s="26">
        <f>I92</f>
        <v>0.19425402538319209</v>
      </c>
      <c r="N27" s="26">
        <f>E95</f>
        <v>7.5206406335573045E-2</v>
      </c>
      <c r="O27" s="14" t="str">
        <f>IF(S27,$U$25,$U$26)</f>
        <v>No</v>
      </c>
      <c r="P27" s="218">
        <f t="shared" si="0"/>
        <v>4.3841212712045996E-2</v>
      </c>
      <c r="Q27" s="218">
        <f t="shared" si="0"/>
        <v>0.19425402538319209</v>
      </c>
      <c r="R27" s="218">
        <f t="shared" si="0"/>
        <v>7.5206406335573045E-2</v>
      </c>
      <c r="S27" s="220">
        <f>IF(AND(x&gt;20,E10&gt;20),1,0)</f>
        <v>0</v>
      </c>
      <c r="V27" s="402"/>
      <c r="W27" s="407"/>
      <c r="X27" s="407"/>
      <c r="Y27" s="407"/>
    </row>
    <row r="28" spans="1:25" x14ac:dyDescent="0.2">
      <c r="B28" s="10"/>
      <c r="C28" s="5"/>
      <c r="H28" s="71"/>
      <c r="I28" s="72"/>
      <c r="J28" s="221"/>
      <c r="K28" s="68" t="s">
        <v>87</v>
      </c>
      <c r="L28" s="118">
        <f>J99</f>
        <v>6.466324900080532E-2</v>
      </c>
      <c r="M28" s="118">
        <f>K99</f>
        <v>0.20806402372646737</v>
      </c>
      <c r="N28" s="118">
        <f>I99</f>
        <v>7.1700387362831033E-2</v>
      </c>
      <c r="O28" s="68" t="s">
        <v>91</v>
      </c>
      <c r="P28" s="222">
        <f t="shared" si="0"/>
        <v>6.466324900080532E-2</v>
      </c>
      <c r="Q28" s="222">
        <f t="shared" si="0"/>
        <v>0.20806402372646737</v>
      </c>
      <c r="R28" s="222">
        <f t="shared" si="0"/>
        <v>7.1700387362831033E-2</v>
      </c>
      <c r="S28" s="219">
        <v>1</v>
      </c>
      <c r="V28" s="402"/>
      <c r="W28" s="407"/>
      <c r="X28" s="407"/>
      <c r="Y28" s="407"/>
    </row>
    <row r="29" spans="1:25" x14ac:dyDescent="0.2">
      <c r="B29" s="59"/>
      <c r="C29" s="10"/>
      <c r="D29" s="5" t="s">
        <v>32</v>
      </c>
      <c r="E29" s="6"/>
      <c r="F29" s="6"/>
      <c r="J29" s="68"/>
      <c r="K29" s="68" t="s">
        <v>167</v>
      </c>
      <c r="L29" s="409">
        <f>Q92</f>
        <v>5.7087960668243252E-2</v>
      </c>
      <c r="M29" s="409">
        <f>Q93</f>
        <v>0.21893281002402118</v>
      </c>
      <c r="N29" s="68">
        <f>(M29-L29)/2</f>
        <v>8.092242467788896E-2</v>
      </c>
      <c r="O29" s="68" t="str">
        <f>P94</f>
        <v>Si</v>
      </c>
      <c r="P29" s="368">
        <f>L29</f>
        <v>5.7087960668243252E-2</v>
      </c>
      <c r="Q29" s="368">
        <f t="shared" si="0"/>
        <v>0.21893281002402118</v>
      </c>
      <c r="R29" s="368">
        <f t="shared" si="0"/>
        <v>8.092242467788896E-2</v>
      </c>
      <c r="S29" s="68"/>
      <c r="T29" s="68"/>
      <c r="U29" s="68"/>
      <c r="V29" s="402"/>
      <c r="W29" s="407"/>
      <c r="X29" s="407"/>
      <c r="Y29" s="407"/>
    </row>
    <row r="30" spans="1:25" ht="13.5" thickBot="1" x14ac:dyDescent="0.25">
      <c r="B30" s="10"/>
      <c r="C30" s="5"/>
      <c r="D30" s="73" t="s">
        <v>33</v>
      </c>
      <c r="E30" s="6"/>
      <c r="F30" s="6" t="s">
        <v>75</v>
      </c>
      <c r="I30" s="75"/>
      <c r="J30" s="223"/>
      <c r="K30" s="68" t="s">
        <v>94</v>
      </c>
      <c r="L30" s="118">
        <f>p-t*SQRT(p*q/n)</f>
        <v>4.9793593664426955E-2</v>
      </c>
      <c r="M30" s="118">
        <f>p+t*SQRT(p*q/n)</f>
        <v>0.18830164443081113</v>
      </c>
      <c r="N30" s="118">
        <f>K31*t</f>
        <v>6.9254025383192086E-2</v>
      </c>
      <c r="O30" s="68"/>
      <c r="P30" s="368">
        <f>L30</f>
        <v>4.9793593664426955E-2</v>
      </c>
      <c r="Q30" s="368">
        <f>M30</f>
        <v>0.18830164443081113</v>
      </c>
      <c r="R30" s="368">
        <f>N30</f>
        <v>6.9254025383192086E-2</v>
      </c>
      <c r="S30" s="68"/>
      <c r="T30" s="68"/>
      <c r="U30" s="68"/>
      <c r="V30" s="402"/>
      <c r="W30" s="407"/>
      <c r="X30" s="407"/>
      <c r="Y30" s="407"/>
    </row>
    <row r="31" spans="1:25" x14ac:dyDescent="0.2">
      <c r="B31" s="10"/>
      <c r="C31" s="5"/>
      <c r="D31" s="60" t="str">
        <f>"IC ("&amp;$R$8*100&amp;"%):"</f>
        <v>IC (95%):</v>
      </c>
      <c r="E31" s="76" t="s">
        <v>34</v>
      </c>
      <c r="F31" s="76" t="str">
        <f>IF(R9=0,"&lt; Aproximación a la normal no válida",IF(R9=1,"&lt; IC largo","&lt; IC corto"))</f>
        <v>&lt; IC largo</v>
      </c>
      <c r="G31" s="64"/>
      <c r="H31" s="77"/>
      <c r="J31" s="217" t="s">
        <v>95</v>
      </c>
      <c r="K31" s="216">
        <f>SQRT(p*q/n)</f>
        <v>3.5334335696706173E-2</v>
      </c>
      <c r="V31" s="402"/>
      <c r="W31" s="402"/>
      <c r="X31" s="402"/>
      <c r="Y31" s="402"/>
    </row>
    <row r="32" spans="1:25" x14ac:dyDescent="0.2">
      <c r="B32" s="10"/>
      <c r="C32" s="5"/>
      <c r="D32" s="14"/>
      <c r="E32" s="78" t="str">
        <f>E25</f>
        <v>Lim. Inf.</v>
      </c>
      <c r="F32" s="79">
        <f>IF(R9=0,"",IF(R9=1,H86,H92))</f>
        <v>6.1657480013023062E-2</v>
      </c>
      <c r="G32" s="63">
        <f>F32</f>
        <v>6.1657480013023062E-2</v>
      </c>
      <c r="H32" s="80"/>
      <c r="I32" s="81"/>
      <c r="J32" s="7"/>
      <c r="K32" s="36"/>
    </row>
    <row r="33" spans="1:13" x14ac:dyDescent="0.2">
      <c r="A33" s="15"/>
      <c r="B33" s="41"/>
      <c r="C33" s="5"/>
      <c r="D33" s="14"/>
      <c r="E33" s="68" t="str">
        <f>E26</f>
        <v>Lim. Sup.</v>
      </c>
      <c r="F33" s="82">
        <f>IF(R9=0,"",IF(R9=1,I86,I92))</f>
        <v>0.21247751050533376</v>
      </c>
      <c r="G33" s="67">
        <f>F33</f>
        <v>0.21247751050533376</v>
      </c>
      <c r="H33" s="68"/>
      <c r="K33" s="36"/>
    </row>
    <row r="34" spans="1:13" x14ac:dyDescent="0.2">
      <c r="B34" s="10"/>
      <c r="C34" s="5"/>
      <c r="D34" s="68"/>
      <c r="E34" s="33" t="s">
        <v>30</v>
      </c>
      <c r="F34" s="69">
        <f>(F33-F32)/2</f>
        <v>7.5410015246155343E-2</v>
      </c>
      <c r="G34" s="67">
        <f>F34</f>
        <v>7.5410015246155343E-2</v>
      </c>
      <c r="H34" s="83"/>
      <c r="K34" s="36"/>
    </row>
    <row r="35" spans="1:13" x14ac:dyDescent="0.2">
      <c r="B35" s="10"/>
      <c r="C35" s="5"/>
      <c r="D35" s="14"/>
      <c r="E35" s="21"/>
      <c r="F35" s="200"/>
      <c r="G35" s="201"/>
      <c r="H35" s="202"/>
      <c r="K35" s="36"/>
    </row>
    <row r="36" spans="1:13" x14ac:dyDescent="0.2">
      <c r="B36" s="10"/>
      <c r="C36" s="5"/>
      <c r="D36" s="14"/>
      <c r="E36" s="21"/>
      <c r="F36" s="200"/>
      <c r="G36" s="201"/>
      <c r="H36" s="202"/>
      <c r="K36" s="36"/>
    </row>
    <row r="37" spans="1:13" x14ac:dyDescent="0.2">
      <c r="B37" s="10"/>
      <c r="C37" s="5"/>
      <c r="D37" s="14"/>
      <c r="E37" s="21"/>
      <c r="F37" s="200"/>
      <c r="G37" s="201"/>
      <c r="H37" s="202"/>
      <c r="K37" s="36"/>
    </row>
    <row r="38" spans="1:13" x14ac:dyDescent="0.2">
      <c r="B38" s="10"/>
      <c r="C38" s="5"/>
      <c r="D38" s="14"/>
      <c r="E38" s="21"/>
      <c r="F38" s="200"/>
      <c r="G38" s="201"/>
      <c r="H38" s="202"/>
      <c r="K38" s="36"/>
    </row>
    <row r="39" spans="1:13" ht="13.5" customHeight="1" x14ac:dyDescent="0.2">
      <c r="B39" s="10"/>
      <c r="C39" s="5"/>
      <c r="K39" s="36"/>
    </row>
    <row r="40" spans="1:13" x14ac:dyDescent="0.2">
      <c r="B40" s="10"/>
      <c r="C40" s="84" t="s">
        <v>31</v>
      </c>
      <c r="D40" s="59" t="str">
        <f>"Tamaño de muestra (sin cpc. "&amp;" Nivel de confianza = "&amp;E12&amp;"%)"</f>
        <v>Tamaño de muestra (sin cpc.  Nivel de confianza = 95%)</v>
      </c>
      <c r="E40" s="85"/>
      <c r="F40" s="36"/>
      <c r="H40" s="6"/>
      <c r="I40" s="6"/>
    </row>
    <row r="41" spans="1:13" x14ac:dyDescent="0.2">
      <c r="B41" s="10"/>
      <c r="C41" s="34"/>
      <c r="D41" s="81"/>
      <c r="E41" s="127">
        <f>IF(F41&gt;1,F41/100,F41)</f>
        <v>0.05</v>
      </c>
      <c r="F41" s="6">
        <f>Inferencias!E32</f>
        <v>0.05</v>
      </c>
      <c r="H41" s="6"/>
      <c r="I41" s="6"/>
    </row>
    <row r="42" spans="1:13" x14ac:dyDescent="0.2">
      <c r="A42" s="15"/>
      <c r="B42" s="16"/>
      <c r="D42" s="173" t="s">
        <v>35</v>
      </c>
      <c r="E42" s="12">
        <f>E41</f>
        <v>0.05</v>
      </c>
      <c r="F42" s="86" t="s">
        <v>11</v>
      </c>
      <c r="G42" s="87" t="s">
        <v>13</v>
      </c>
      <c r="H42" s="87" t="s">
        <v>25</v>
      </c>
      <c r="I42" s="113" t="s">
        <v>96</v>
      </c>
      <c r="J42" s="15" t="str">
        <f>IF(E41&lt;0,"&lt; Ha introducido una precisión negativa ",IF(E41&gt;100,"&lt; ERROR: la precisión no puede ser mayor al 100%!!",""))</f>
        <v/>
      </c>
      <c r="K42" s="15"/>
      <c r="L42" s="15"/>
      <c r="M42" s="15"/>
    </row>
    <row r="43" spans="1:13" x14ac:dyDescent="0.2">
      <c r="A43" s="15"/>
      <c r="B43" s="16"/>
      <c r="C43" s="5"/>
      <c r="D43" s="90" t="s">
        <v>36</v>
      </c>
      <c r="E43" s="68"/>
      <c r="F43" s="215">
        <f>TRUNC(t^2*0.25/E42^2+1,0)</f>
        <v>385</v>
      </c>
      <c r="G43" s="92">
        <v>0.5</v>
      </c>
      <c r="H43" s="92">
        <v>0.5</v>
      </c>
      <c r="I43" s="321">
        <f>I103*0.25</f>
        <v>384.14588206941232</v>
      </c>
      <c r="J43" s="318"/>
      <c r="K43" s="318"/>
      <c r="L43" s="318"/>
      <c r="M43" s="15"/>
    </row>
    <row r="44" spans="1:13" x14ac:dyDescent="0.2">
      <c r="D44" s="314" t="s">
        <v>146</v>
      </c>
      <c r="E44" s="68"/>
      <c r="F44" s="214">
        <f>TRUNC(1+(F115*(1-F115))*(t/E42)^2,0)</f>
        <v>258</v>
      </c>
      <c r="G44" s="315">
        <f>F115</f>
        <v>0.21247751050533376</v>
      </c>
      <c r="H44" s="315">
        <f>1-G44</f>
        <v>0.78752248949466619</v>
      </c>
      <c r="I44" s="319">
        <f>F117</f>
        <v>257.11777876548223</v>
      </c>
      <c r="J44" s="323" t="s">
        <v>145</v>
      </c>
      <c r="K44" s="14"/>
      <c r="L44" s="14"/>
    </row>
    <row r="45" spans="1:13" x14ac:dyDescent="0.2">
      <c r="D45" s="68"/>
      <c r="E45" s="68"/>
      <c r="F45" s="316">
        <f>TRUNC(H117+1,0)</f>
        <v>254</v>
      </c>
      <c r="G45" s="322">
        <f>H115</f>
        <v>0.20806402372646737</v>
      </c>
      <c r="H45" s="322">
        <f>H116</f>
        <v>0.79193597627353263</v>
      </c>
      <c r="I45" s="320">
        <f>H117</f>
        <v>253.18807045308236</v>
      </c>
      <c r="J45" s="317" t="s">
        <v>147</v>
      </c>
      <c r="K45" s="77"/>
      <c r="L45" s="77"/>
    </row>
    <row r="46" spans="1:13" x14ac:dyDescent="0.2">
      <c r="D46" s="173"/>
      <c r="E46" s="17"/>
    </row>
    <row r="49" spans="2:12" x14ac:dyDescent="0.2">
      <c r="B49" s="10">
        <v>4</v>
      </c>
      <c r="C49" s="5" t="s">
        <v>37</v>
      </c>
      <c r="E49" s="128" t="str">
        <f>IF(R9=0,"&lt; Aproximación a la normal no válida","")</f>
        <v/>
      </c>
    </row>
    <row r="50" spans="2:12" x14ac:dyDescent="0.2">
      <c r="B50" s="10"/>
      <c r="C50" s="10" t="s">
        <v>105</v>
      </c>
      <c r="D50" s="59" t="s">
        <v>106</v>
      </c>
      <c r="E50" s="128"/>
    </row>
    <row r="51" spans="2:12" x14ac:dyDescent="0.2">
      <c r="E51" s="130">
        <f>Inferencias!E41</f>
        <v>0.15</v>
      </c>
      <c r="I51" s="129"/>
    </row>
    <row r="52" spans="2:12" x14ac:dyDescent="0.2">
      <c r="D52" s="12" t="s">
        <v>38</v>
      </c>
      <c r="E52" s="12">
        <f>IF(E51&gt;1,E51/100,E51)</f>
        <v>0.15</v>
      </c>
      <c r="F52" s="15" t="str">
        <f>IF(E51&lt;0,"&lt; Cuidado: Ha introducido un valor negativo (El dato esperado es en %)",IF(E51&gt;100,"&lt; ERROR: ¡¡el porcentaje no puede ser mayor al 100%!!",""))</f>
        <v/>
      </c>
      <c r="I52" s="129"/>
    </row>
    <row r="53" spans="2:12" x14ac:dyDescent="0.2">
      <c r="D53" s="12" t="s">
        <v>39</v>
      </c>
      <c r="E53" s="130">
        <f>Inferencias!E42</f>
        <v>2</v>
      </c>
      <c r="F53" s="15" t="str">
        <f>IF(AND(E53&lt;&gt;1,E53&lt;&gt;2),"&lt; ERROR: el test solo puede ser a 1 o 2 colas","")</f>
        <v/>
      </c>
      <c r="G53" s="225"/>
      <c r="I53" s="129"/>
    </row>
    <row r="54" spans="2:12" x14ac:dyDescent="0.2">
      <c r="D54" s="131" t="s">
        <v>40</v>
      </c>
      <c r="E54" s="95">
        <f>(ABS(p-po)-(1/(2*n)))/SQRT(po*(1-po)/n)</f>
        <v>0.64168894791974795</v>
      </c>
      <c r="F54" s="20"/>
      <c r="G54" s="20"/>
      <c r="I54" s="129"/>
    </row>
    <row r="55" spans="2:12" x14ac:dyDescent="0.2">
      <c r="D55" s="77" t="s">
        <v>41</v>
      </c>
      <c r="E55" s="132">
        <f>IF(E53=1,(1-NORMSDIST(E54)),(2*(1-NORMSDIST(E54))))</f>
        <v>0.52107516666718312</v>
      </c>
      <c r="F55" s="68"/>
      <c r="G55" s="133"/>
      <c r="H55" s="77"/>
      <c r="I55" s="129"/>
    </row>
    <row r="56" spans="2:12" x14ac:dyDescent="0.2">
      <c r="D56" s="59"/>
      <c r="E56" s="14"/>
      <c r="F56" s="134"/>
      <c r="I56" s="135"/>
    </row>
    <row r="57" spans="2:12" x14ac:dyDescent="0.2">
      <c r="C57" s="10" t="s">
        <v>107</v>
      </c>
      <c r="D57" s="59" t="s">
        <v>108</v>
      </c>
      <c r="E57" s="14"/>
      <c r="F57" s="134"/>
      <c r="I57" s="135"/>
    </row>
    <row r="58" spans="2:12" x14ac:dyDescent="0.2">
      <c r="D58" s="12" t="s">
        <v>14</v>
      </c>
      <c r="E58" s="120">
        <f>Inferencias!E47</f>
        <v>0.05</v>
      </c>
      <c r="F58" s="59" t="str">
        <f>"Diferencia a detectar "</f>
        <v xml:space="preserve">Diferencia a detectar </v>
      </c>
      <c r="H58" s="120">
        <f>IF(E58&gt;1,E58/100,E58)</f>
        <v>0.05</v>
      </c>
      <c r="I58" s="135"/>
    </row>
    <row r="59" spans="2:12" x14ac:dyDescent="0.2">
      <c r="D59" s="6" t="s">
        <v>109</v>
      </c>
      <c r="E59" s="130">
        <f>Inferencias!E48</f>
        <v>0.9</v>
      </c>
      <c r="F59" s="134"/>
      <c r="H59" s="120">
        <f>IF(E59&gt;1,E59/100,E59)</f>
        <v>0.9</v>
      </c>
      <c r="I59" s="241" t="s">
        <v>110</v>
      </c>
      <c r="J59" s="11">
        <f>2*(1-H59)</f>
        <v>0.19999999999999996</v>
      </c>
    </row>
    <row r="60" spans="2:12" x14ac:dyDescent="0.2">
      <c r="D60" s="59" t="s">
        <v>83</v>
      </c>
      <c r="E60" s="24">
        <f>t</f>
        <v>1.9599639845400536</v>
      </c>
      <c r="F60" s="134"/>
      <c r="I60" s="20" t="s">
        <v>111</v>
      </c>
      <c r="J60" s="243">
        <f>ABS(NORMSINV(J59/2))</f>
        <v>1.2815515655446006</v>
      </c>
    </row>
    <row r="61" spans="2:12" x14ac:dyDescent="0.2">
      <c r="D61" s="59" t="s">
        <v>112</v>
      </c>
      <c r="E61" s="24">
        <f>J60</f>
        <v>1.2815515655446006</v>
      </c>
      <c r="F61" s="134"/>
      <c r="I61" s="135"/>
    </row>
    <row r="62" spans="2:12" x14ac:dyDescent="0.2">
      <c r="D62" s="59" t="s">
        <v>113</v>
      </c>
      <c r="E62" s="14">
        <f>J62*L62+J63*L63</f>
        <v>0.2</v>
      </c>
      <c r="F62" s="134" t="s">
        <v>114</v>
      </c>
      <c r="I62" s="135" t="s">
        <v>115</v>
      </c>
      <c r="J62" s="12">
        <f>po-H58</f>
        <v>9.9999999999999992E-2</v>
      </c>
      <c r="K62" s="12">
        <f>ABS(0.5-J62)</f>
        <v>0.4</v>
      </c>
      <c r="L62" s="12">
        <f>IF(K62&lt;=K63,1,0)</f>
        <v>0</v>
      </c>
    </row>
    <row r="63" spans="2:12" x14ac:dyDescent="0.2">
      <c r="D63" s="59" t="s">
        <v>11</v>
      </c>
      <c r="E63" s="12">
        <f>TRUNC(F63)+1</f>
        <v>589</v>
      </c>
      <c r="F63" s="14">
        <f>((E60*SQRT(po*(1-po))+E61*SQRT(E62*(1-E62)))/H58)^2</f>
        <v>588.03121997582639</v>
      </c>
      <c r="I63" s="135" t="s">
        <v>116</v>
      </c>
      <c r="J63" s="12">
        <f>po+H58</f>
        <v>0.2</v>
      </c>
      <c r="K63" s="12">
        <f>ABS(0.5-J63)</f>
        <v>0.3</v>
      </c>
      <c r="L63" s="12">
        <f>IF(L62=1,0,1)</f>
        <v>1</v>
      </c>
    </row>
    <row r="64" spans="2:12" x14ac:dyDescent="0.2">
      <c r="D64" s="59"/>
      <c r="E64" s="14"/>
      <c r="F64" s="134"/>
      <c r="I64" s="135"/>
    </row>
    <row r="65" spans="1:11" x14ac:dyDescent="0.2">
      <c r="D65" s="59"/>
      <c r="E65" s="14"/>
      <c r="F65" s="134"/>
      <c r="I65" s="135"/>
    </row>
    <row r="66" spans="1:11" x14ac:dyDescent="0.2">
      <c r="B66" s="10">
        <v>5</v>
      </c>
      <c r="C66" s="5" t="s">
        <v>100</v>
      </c>
      <c r="E66" s="14"/>
      <c r="F66" s="14"/>
      <c r="I66" s="135"/>
    </row>
    <row r="67" spans="1:11" x14ac:dyDescent="0.2">
      <c r="B67" s="10"/>
      <c r="C67" s="5" t="s">
        <v>101</v>
      </c>
      <c r="E67" s="14"/>
      <c r="F67" s="14"/>
      <c r="I67" s="135"/>
    </row>
    <row r="68" spans="1:11" x14ac:dyDescent="0.2">
      <c r="C68" s="96" t="s">
        <v>102</v>
      </c>
      <c r="I68" s="135"/>
    </row>
    <row r="69" spans="1:11" x14ac:dyDescent="0.2">
      <c r="C69" s="97" t="str">
        <f>"40"&amp;C71&amp;"10 horas de Bioestadística"</f>
        <v>40±10 horas de Bioestadística</v>
      </c>
      <c r="I69" s="135"/>
    </row>
    <row r="70" spans="1:11" x14ac:dyDescent="0.2">
      <c r="C70" s="96" t="s">
        <v>103</v>
      </c>
      <c r="I70" s="135"/>
    </row>
    <row r="71" spans="1:11" x14ac:dyDescent="0.2">
      <c r="C71" s="136" t="s">
        <v>97</v>
      </c>
      <c r="D71" s="35"/>
      <c r="F71" s="36"/>
      <c r="H71" s="137"/>
      <c r="I71" s="129"/>
    </row>
    <row r="72" spans="1:11" x14ac:dyDescent="0.2">
      <c r="F72" s="36"/>
      <c r="H72" s="6"/>
      <c r="I72" s="6"/>
    </row>
    <row r="73" spans="1:11" s="13" customFormat="1" ht="13.5" thickBot="1" x14ac:dyDescent="0.25">
      <c r="A73" s="138"/>
      <c r="B73" s="139"/>
      <c r="C73" s="140"/>
      <c r="H73" s="141"/>
      <c r="I73" s="141"/>
    </row>
    <row r="74" spans="1:11" s="142" customFormat="1" ht="22.5" customHeight="1" x14ac:dyDescent="0.2">
      <c r="B74" s="143"/>
      <c r="C74" s="144"/>
    </row>
    <row r="75" spans="1:11" s="142" customFormat="1" ht="15" customHeight="1" x14ac:dyDescent="0.2">
      <c r="A75" s="145" t="s">
        <v>42</v>
      </c>
      <c r="B75" s="146"/>
      <c r="C75" s="144"/>
    </row>
    <row r="76" spans="1:11" s="147" customFormat="1" x14ac:dyDescent="0.2">
      <c r="B76" s="148"/>
      <c r="C76" s="149"/>
    </row>
    <row r="77" spans="1:11" s="153" customFormat="1" x14ac:dyDescent="0.2">
      <c r="A77" s="150" t="s">
        <v>43</v>
      </c>
      <c r="B77" s="151"/>
      <c r="C77" s="152"/>
    </row>
    <row r="78" spans="1:11" s="153" customFormat="1" x14ac:dyDescent="0.2">
      <c r="A78" s="150"/>
      <c r="B78" s="151"/>
      <c r="C78" s="152"/>
      <c r="I78" s="17" t="s">
        <v>44</v>
      </c>
      <c r="J78" s="154"/>
      <c r="K78" s="154"/>
    </row>
    <row r="79" spans="1:11" s="153" customFormat="1" x14ac:dyDescent="0.2">
      <c r="A79" s="150"/>
      <c r="B79" s="151"/>
      <c r="C79" s="152"/>
      <c r="D79" s="155"/>
      <c r="E79" s="156"/>
      <c r="F79" s="157"/>
      <c r="G79" s="158"/>
      <c r="H79" s="135"/>
      <c r="I79" s="159" t="s">
        <v>45</v>
      </c>
      <c r="J79" s="160">
        <f>x/(x+(E10+1)*G81)</f>
        <v>5.8589492544666638E-2</v>
      </c>
      <c r="K79" s="161">
        <f>((x+1)*G82)/(E10+(x+1)*G82)</f>
        <v>0.20805489856123918</v>
      </c>
    </row>
    <row r="80" spans="1:11" s="153" customFormat="1" x14ac:dyDescent="0.2">
      <c r="A80" s="150"/>
      <c r="B80" s="151"/>
      <c r="C80" s="152"/>
      <c r="D80" s="162" t="s">
        <v>46</v>
      </c>
      <c r="E80" s="163" t="s">
        <v>47</v>
      </c>
      <c r="F80" s="158" t="s">
        <v>48</v>
      </c>
      <c r="G80" s="156" t="s">
        <v>49</v>
      </c>
      <c r="H80" s="135"/>
      <c r="I80" s="159" t="s">
        <v>50</v>
      </c>
      <c r="J80" s="164">
        <f>0</f>
        <v>0</v>
      </c>
      <c r="K80" s="164">
        <f>1-J81</f>
        <v>4.2964919629565057E-2</v>
      </c>
    </row>
    <row r="81" spans="1:17" s="153" customFormat="1" x14ac:dyDescent="0.2">
      <c r="A81" s="150"/>
      <c r="B81" s="151"/>
      <c r="C81" s="152"/>
      <c r="D81" s="165">
        <f>(1-R8)/2</f>
        <v>2.5000000000000022E-2</v>
      </c>
      <c r="E81" s="166">
        <f>2*(n-x+1)</f>
        <v>150</v>
      </c>
      <c r="F81" s="167">
        <f>2*x</f>
        <v>20</v>
      </c>
      <c r="G81" s="168">
        <f>FINV($D$81,E81,F81)</f>
        <v>2.1423875774030847</v>
      </c>
      <c r="H81" s="135"/>
      <c r="I81" s="74" t="s">
        <v>51</v>
      </c>
      <c r="J81" s="82">
        <f>D81^(1/n)</f>
        <v>0.95703508037043494</v>
      </c>
      <c r="K81" s="169">
        <f>1</f>
        <v>1</v>
      </c>
    </row>
    <row r="82" spans="1:17" s="153" customFormat="1" x14ac:dyDescent="0.2">
      <c r="B82" s="170"/>
      <c r="C82" s="152"/>
      <c r="D82" s="158"/>
      <c r="E82" s="171">
        <f>2*(x+1)</f>
        <v>22</v>
      </c>
      <c r="F82" s="172">
        <f>2*(E10)</f>
        <v>148</v>
      </c>
      <c r="G82" s="156">
        <f>FINV($D$81,E82,F82)</f>
        <v>1.7673473102159833</v>
      </c>
      <c r="H82" s="135"/>
      <c r="I82" s="173" t="s">
        <v>52</v>
      </c>
      <c r="J82" s="173">
        <f>IF(x=0,J80,IF(x=n,J81,J79))</f>
        <v>5.8589492544666638E-2</v>
      </c>
      <c r="K82" s="173">
        <f>IF(x=0,K80,IF(x=n,K81,K79))</f>
        <v>0.20805489856123918</v>
      </c>
    </row>
    <row r="83" spans="1:17" s="153" customFormat="1" x14ac:dyDescent="0.2">
      <c r="B83" s="170"/>
      <c r="C83" s="152"/>
      <c r="D83" s="135"/>
      <c r="E83" s="135"/>
      <c r="F83" s="135"/>
      <c r="G83" s="135"/>
      <c r="H83" s="135"/>
      <c r="I83" s="135"/>
    </row>
    <row r="84" spans="1:17" s="175" customFormat="1" x14ac:dyDescent="0.2">
      <c r="A84" s="150" t="s">
        <v>77</v>
      </c>
      <c r="B84" s="151"/>
      <c r="C84" s="174"/>
    </row>
    <row r="85" spans="1:17" s="175" customFormat="1" ht="13.5" thickBot="1" x14ac:dyDescent="0.25">
      <c r="B85" s="176"/>
      <c r="C85" s="177"/>
      <c r="D85" s="178" t="s">
        <v>53</v>
      </c>
      <c r="E85" s="178" t="s">
        <v>54</v>
      </c>
      <c r="F85" s="179" t="s">
        <v>55</v>
      </c>
      <c r="G85" s="179" t="s">
        <v>56</v>
      </c>
      <c r="H85" s="178" t="s">
        <v>57</v>
      </c>
      <c r="I85" s="178"/>
    </row>
    <row r="86" spans="1:17" s="175" customFormat="1" x14ac:dyDescent="0.2">
      <c r="B86" s="176"/>
      <c r="C86" s="177"/>
      <c r="D86" s="180">
        <f>1/(n+(t^2))</f>
        <v>1.1384146090301668E-2</v>
      </c>
      <c r="E86" s="181">
        <f>(x-0.5)</f>
        <v>9.5</v>
      </c>
      <c r="F86" s="181">
        <f>(t^2)/2</f>
        <v>1.9207294103470618</v>
      </c>
      <c r="G86" s="182">
        <f>t*SQRT(((t^2)/4)+(x-0.5)*((n-x)+0.5)/n)</f>
        <v>6.0046464187953248</v>
      </c>
      <c r="H86" s="183">
        <f>D86*(E86+F86-G86)</f>
        <v>6.1657480013023062E-2</v>
      </c>
      <c r="I86" s="184">
        <f>D87*(E87+F87+G87)</f>
        <v>0.21247751050533376</v>
      </c>
    </row>
    <row r="87" spans="1:17" s="175" customFormat="1" ht="13.5" thickBot="1" x14ac:dyDescent="0.25">
      <c r="B87" s="176"/>
      <c r="C87" s="177"/>
      <c r="D87" s="185">
        <f>D86</f>
        <v>1.1384146090301668E-2</v>
      </c>
      <c r="E87" s="186">
        <f>x+0.5</f>
        <v>10.5</v>
      </c>
      <c r="F87" s="186">
        <f>F86</f>
        <v>1.9207294103470618</v>
      </c>
      <c r="G87" s="187">
        <f>t*SQRT(((t^2)/4)+(x+0.5)*(((n-x)-0.5)/n))</f>
        <v>6.2436050790308188</v>
      </c>
      <c r="H87" s="188">
        <f>H86</f>
        <v>6.1657480013023062E-2</v>
      </c>
      <c r="I87" s="189">
        <f>I86</f>
        <v>0.21247751050533376</v>
      </c>
    </row>
    <row r="88" spans="1:17" s="175" customFormat="1" x14ac:dyDescent="0.2">
      <c r="B88" s="176"/>
      <c r="C88" s="177"/>
      <c r="G88" s="190"/>
      <c r="H88" s="191"/>
      <c r="I88" s="191"/>
    </row>
    <row r="89" spans="1:17" s="175" customFormat="1" x14ac:dyDescent="0.2">
      <c r="B89" s="176"/>
      <c r="C89" s="177"/>
      <c r="D89" s="192" t="s">
        <v>58</v>
      </c>
      <c r="E89" s="205">
        <f>F89</f>
        <v>7.5410015246155343E-2</v>
      </c>
      <c r="F89" s="193">
        <f>(I86-H86)/2</f>
        <v>7.5410015246155343E-2</v>
      </c>
      <c r="G89" s="190"/>
      <c r="H89" s="191"/>
      <c r="I89" s="191"/>
    </row>
    <row r="90" spans="1:17" s="175" customFormat="1" x14ac:dyDescent="0.2">
      <c r="B90" s="176"/>
      <c r="C90" s="177"/>
      <c r="H90" s="191"/>
      <c r="I90" s="191"/>
      <c r="L90" s="175" t="s">
        <v>167</v>
      </c>
      <c r="M90" s="176"/>
      <c r="N90" s="176" t="s">
        <v>174</v>
      </c>
      <c r="O90" s="176" t="s">
        <v>172</v>
      </c>
      <c r="P90" s="176" t="s">
        <v>173</v>
      </c>
    </row>
    <row r="91" spans="1:17" s="175" customFormat="1" ht="13.5" thickBot="1" x14ac:dyDescent="0.25">
      <c r="A91" s="150" t="s">
        <v>140</v>
      </c>
      <c r="B91" s="151"/>
      <c r="C91" s="174"/>
      <c r="H91" s="178" t="s">
        <v>57</v>
      </c>
      <c r="I91" s="178"/>
      <c r="K91" s="175" t="s">
        <v>171</v>
      </c>
      <c r="L91" s="175" t="s">
        <v>170</v>
      </c>
      <c r="M91" s="175">
        <f>E12/100</f>
        <v>0.95</v>
      </c>
      <c r="N91" s="175">
        <f>x*2</f>
        <v>20</v>
      </c>
    </row>
    <row r="92" spans="1:17" s="175" customFormat="1" x14ac:dyDescent="0.2">
      <c r="B92" s="176"/>
      <c r="C92" s="177"/>
      <c r="D92" s="178" t="s">
        <v>13</v>
      </c>
      <c r="E92" s="178" t="s">
        <v>59</v>
      </c>
      <c r="F92" s="178" t="s">
        <v>60</v>
      </c>
      <c r="G92" s="178" t="s">
        <v>61</v>
      </c>
      <c r="H92" s="183">
        <f>D93-(E93*F93+G93)</f>
        <v>4.3841212712045996E-2</v>
      </c>
      <c r="I92" s="184">
        <f>D93+(E93*F93+G93)</f>
        <v>0.19425402538319209</v>
      </c>
      <c r="L92" s="175" t="s">
        <v>169</v>
      </c>
      <c r="M92" s="175">
        <f>1-M93</f>
        <v>0.97499999999999998</v>
      </c>
      <c r="N92" s="175">
        <f>N91</f>
        <v>20</v>
      </c>
      <c r="O92" s="367">
        <f>_xlfn.CHISQ.INV.RT(M92,N92)</f>
        <v>9.5907773922648669</v>
      </c>
      <c r="P92" s="366">
        <f>O92/2</f>
        <v>4.7953886961324335</v>
      </c>
      <c r="Q92" s="365">
        <f>P92/n</f>
        <v>5.7087960668243252E-2</v>
      </c>
    </row>
    <row r="93" spans="1:17" s="175" customFormat="1" ht="13.5" thickBot="1" x14ac:dyDescent="0.25">
      <c r="B93" s="176"/>
      <c r="C93" s="177"/>
      <c r="D93" s="180">
        <f>p</f>
        <v>0.11904761904761904</v>
      </c>
      <c r="E93" s="181">
        <f>t</f>
        <v>1.9599639845400536</v>
      </c>
      <c r="F93" s="194">
        <f>SQRT((p*q)/n)</f>
        <v>3.5334335696706173E-2</v>
      </c>
      <c r="G93" s="195">
        <f>1/(2*n)</f>
        <v>5.9523809523809521E-3</v>
      </c>
      <c r="H93" s="188">
        <f>H92</f>
        <v>4.3841212712045996E-2</v>
      </c>
      <c r="I93" s="189">
        <f>I92</f>
        <v>0.19425402538319209</v>
      </c>
      <c r="L93" s="175" t="s">
        <v>168</v>
      </c>
      <c r="M93" s="175">
        <f>(1-M91)/2</f>
        <v>2.5000000000000022E-2</v>
      </c>
      <c r="N93" s="175">
        <f>N92+2</f>
        <v>22</v>
      </c>
      <c r="O93" s="367">
        <f>_xlfn.CHISQ.INV.RT(M93,N93)</f>
        <v>36.780712084035557</v>
      </c>
      <c r="P93" s="366">
        <f>O93/2</f>
        <v>18.390356042017778</v>
      </c>
      <c r="Q93" s="365">
        <f>P93/n</f>
        <v>0.21893281002402118</v>
      </c>
    </row>
    <row r="94" spans="1:17" s="175" customFormat="1" x14ac:dyDescent="0.2">
      <c r="B94" s="176"/>
      <c r="C94" s="177"/>
      <c r="L94" s="175" t="s">
        <v>90</v>
      </c>
      <c r="M94" s="175" t="b">
        <f>p&lt;5</f>
        <v>1</v>
      </c>
      <c r="N94" s="175" t="b">
        <f>n&gt;20</f>
        <v>1</v>
      </c>
      <c r="O94" s="192" t="b">
        <f>AND(N94,M94)</f>
        <v>1</v>
      </c>
      <c r="P94" s="175" t="str">
        <f>IF(O94,"Si","No")</f>
        <v>Si</v>
      </c>
    </row>
    <row r="95" spans="1:17" s="175" customFormat="1" x14ac:dyDescent="0.2">
      <c r="B95" s="176"/>
      <c r="C95" s="177"/>
      <c r="D95" s="192" t="s">
        <v>35</v>
      </c>
      <c r="E95" s="205">
        <f>F95</f>
        <v>7.5206406335573045E-2</v>
      </c>
      <c r="F95" s="193">
        <f>(I92-H92)/2</f>
        <v>7.5206406335573045E-2</v>
      </c>
    </row>
    <row r="96" spans="1:17" s="196" customFormat="1" x14ac:dyDescent="0.2">
      <c r="B96" s="197"/>
      <c r="C96" s="198"/>
    </row>
    <row r="97" spans="1:11" s="196" customFormat="1" x14ac:dyDescent="0.2">
      <c r="A97" s="150" t="s">
        <v>79</v>
      </c>
      <c r="B97" s="197"/>
      <c r="C97" s="198"/>
    </row>
    <row r="98" spans="1:11" s="196" customFormat="1" x14ac:dyDescent="0.2">
      <c r="B98" s="197"/>
      <c r="C98" s="198"/>
      <c r="D98" s="206" t="s">
        <v>80</v>
      </c>
      <c r="E98" s="206" t="s">
        <v>81</v>
      </c>
      <c r="F98" s="206" t="s">
        <v>82</v>
      </c>
      <c r="G98" s="206" t="s">
        <v>83</v>
      </c>
      <c r="H98" s="173" t="s">
        <v>84</v>
      </c>
      <c r="I98" s="173" t="s">
        <v>85</v>
      </c>
      <c r="J98" s="207" t="s">
        <v>86</v>
      </c>
      <c r="K98" s="208"/>
    </row>
    <row r="99" spans="1:11" s="196" customFormat="1" x14ac:dyDescent="0.2">
      <c r="B99" s="197"/>
      <c r="C99" s="198"/>
      <c r="D99" s="206">
        <f>x+2</f>
        <v>12</v>
      </c>
      <c r="E99" s="206">
        <f>n-x+2</f>
        <v>76</v>
      </c>
      <c r="F99" s="206">
        <f>n+4</f>
        <v>88</v>
      </c>
      <c r="G99" s="173">
        <f>E93</f>
        <v>1.9599639845400536</v>
      </c>
      <c r="H99" s="173">
        <f>D99/F99</f>
        <v>0.13636363636363635</v>
      </c>
      <c r="I99" s="173">
        <f>G99*SQRT((D99*E99)/F99)/F99</f>
        <v>7.1700387362831033E-2</v>
      </c>
      <c r="J99" s="207">
        <f>H99-I99</f>
        <v>6.466324900080532E-2</v>
      </c>
      <c r="K99" s="207">
        <f>H99+I99</f>
        <v>0.20806402372646737</v>
      </c>
    </row>
    <row r="100" spans="1:11" s="196" customFormat="1" x14ac:dyDescent="0.2">
      <c r="B100" s="197"/>
      <c r="C100" s="198"/>
      <c r="D100" s="173"/>
      <c r="E100" s="173"/>
      <c r="F100" s="173"/>
      <c r="G100" s="173"/>
      <c r="H100" s="173"/>
      <c r="I100" s="173"/>
      <c r="J100" s="173"/>
    </row>
    <row r="102" spans="1:11" x14ac:dyDescent="0.2">
      <c r="A102" s="150" t="s">
        <v>62</v>
      </c>
      <c r="B102" s="151"/>
    </row>
    <row r="103" spans="1:11" x14ac:dyDescent="0.2">
      <c r="A103" s="150"/>
      <c r="B103" s="151"/>
      <c r="D103" s="206" t="s">
        <v>142</v>
      </c>
      <c r="E103" s="298">
        <f>t</f>
        <v>1.9599639845400536</v>
      </c>
      <c r="F103" s="206" t="s">
        <v>143</v>
      </c>
      <c r="G103" s="11">
        <f>E41</f>
        <v>0.05</v>
      </c>
      <c r="H103" s="311" t="s">
        <v>144</v>
      </c>
      <c r="I103" s="312">
        <f>(E103/G103)^2</f>
        <v>1536.5835282776493</v>
      </c>
    </row>
    <row r="104" spans="1:11" x14ac:dyDescent="0.2">
      <c r="A104" s="150"/>
      <c r="B104" s="151"/>
    </row>
    <row r="105" spans="1:11" x14ac:dyDescent="0.2">
      <c r="D105" s="12" t="s">
        <v>63</v>
      </c>
      <c r="G105" s="20"/>
      <c r="H105" s="20"/>
    </row>
    <row r="106" spans="1:11" x14ac:dyDescent="0.2">
      <c r="D106" s="296"/>
      <c r="E106" s="495" t="s">
        <v>77</v>
      </c>
      <c r="F106" s="496"/>
      <c r="G106" s="495" t="s">
        <v>79</v>
      </c>
      <c r="H106" s="496"/>
    </row>
    <row r="107" spans="1:11" x14ac:dyDescent="0.2">
      <c r="D107" s="297" t="s">
        <v>44</v>
      </c>
      <c r="E107" s="288" t="s">
        <v>68</v>
      </c>
      <c r="F107" s="289" t="s">
        <v>69</v>
      </c>
      <c r="G107" s="294" t="str">
        <f>E107</f>
        <v>Resultado</v>
      </c>
      <c r="H107" s="295" t="str">
        <f>F107</f>
        <v>Param</v>
      </c>
    </row>
    <row r="108" spans="1:11" x14ac:dyDescent="0.2">
      <c r="D108" s="302" t="s">
        <v>64</v>
      </c>
      <c r="E108" s="303">
        <f>L26</f>
        <v>6.1657480013023062E-2</v>
      </c>
      <c r="F108" s="304"/>
      <c r="G108" s="305">
        <f>L28</f>
        <v>6.466324900080532E-2</v>
      </c>
      <c r="H108" s="304"/>
    </row>
    <row r="109" spans="1:11" x14ac:dyDescent="0.2">
      <c r="D109" s="302" t="s">
        <v>65</v>
      </c>
      <c r="E109" s="303">
        <f>M26</f>
        <v>0.21247751050533376</v>
      </c>
      <c r="F109" s="304"/>
      <c r="G109" s="305">
        <f>M28</f>
        <v>0.20806402372646737</v>
      </c>
      <c r="H109" s="304"/>
    </row>
    <row r="110" spans="1:11" x14ac:dyDescent="0.2">
      <c r="D110" s="302" t="s">
        <v>66</v>
      </c>
      <c r="E110" s="306" t="b">
        <f>E108&lt;=0.5</f>
        <v>1</v>
      </c>
      <c r="F110" s="304"/>
      <c r="G110" s="306" t="b">
        <f>G108&lt;=0.5</f>
        <v>1</v>
      </c>
      <c r="H110" s="304"/>
    </row>
    <row r="111" spans="1:11" x14ac:dyDescent="0.2">
      <c r="D111" s="302" t="s">
        <v>67</v>
      </c>
      <c r="E111" s="306" t="b">
        <f>E109&gt;=0.5</f>
        <v>0</v>
      </c>
      <c r="F111" s="304"/>
      <c r="G111" s="306" t="b">
        <f>G109&gt;=0.5</f>
        <v>0</v>
      </c>
      <c r="H111" s="304"/>
    </row>
    <row r="112" spans="1:11" x14ac:dyDescent="0.2">
      <c r="D112" s="302" t="s">
        <v>70</v>
      </c>
      <c r="E112" s="306" t="b">
        <f>AND(E110,E111)</f>
        <v>0</v>
      </c>
      <c r="F112" s="307">
        <f>IF(E112,0.5,0)</f>
        <v>0</v>
      </c>
      <c r="G112" s="306" t="b">
        <f>AND(G110,G111)</f>
        <v>0</v>
      </c>
      <c r="H112" s="307">
        <f>IF(G112,0.5,0)</f>
        <v>0</v>
      </c>
    </row>
    <row r="113" spans="4:8" x14ac:dyDescent="0.2">
      <c r="D113" s="302" t="s">
        <v>71</v>
      </c>
      <c r="E113" s="306" t="b">
        <f>AND(NOT(E110),E111)</f>
        <v>0</v>
      </c>
      <c r="F113" s="307">
        <f>IF(E113,E108,0)</f>
        <v>0</v>
      </c>
      <c r="G113" s="306" t="b">
        <f>AND(NOT(G110),G111)</f>
        <v>0</v>
      </c>
      <c r="H113" s="307">
        <f>IF(G113,G108,0)</f>
        <v>0</v>
      </c>
    </row>
    <row r="114" spans="4:8" x14ac:dyDescent="0.2">
      <c r="D114" s="308" t="s">
        <v>72</v>
      </c>
      <c r="E114" s="309" t="b">
        <f>AND(E110,NOT(E111))</f>
        <v>1</v>
      </c>
      <c r="F114" s="310">
        <f>IF(E114,E109,0)</f>
        <v>0.21247751050533376</v>
      </c>
      <c r="G114" s="309" t="b">
        <f>AND(G110,NOT(G111))</f>
        <v>1</v>
      </c>
      <c r="H114" s="310">
        <f>IF(G114,G109,0)</f>
        <v>0.20806402372646737</v>
      </c>
    </row>
    <row r="115" spans="4:8" x14ac:dyDescent="0.2">
      <c r="E115" s="291" t="s">
        <v>73</v>
      </c>
      <c r="F115" s="290">
        <f>SUM(F112:F114)</f>
        <v>0.21247751050533376</v>
      </c>
      <c r="G115" s="291" t="s">
        <v>73</v>
      </c>
      <c r="H115" s="290">
        <f>SUM(H112:H114)</f>
        <v>0.20806402372646737</v>
      </c>
    </row>
    <row r="116" spans="4:8" x14ac:dyDescent="0.2">
      <c r="E116" s="292" t="s">
        <v>74</v>
      </c>
      <c r="F116" s="293">
        <f>1-F115</f>
        <v>0.78752248949466619</v>
      </c>
      <c r="G116" s="292" t="s">
        <v>74</v>
      </c>
      <c r="H116" s="293">
        <f>1-H115</f>
        <v>0.79193597627353263</v>
      </c>
    </row>
    <row r="117" spans="4:8" x14ac:dyDescent="0.2">
      <c r="E117" s="300" t="s">
        <v>141</v>
      </c>
      <c r="F117" s="299">
        <f>$I$103*F115*F116</f>
        <v>257.11777876548223</v>
      </c>
      <c r="G117" s="301" t="str">
        <f>E117</f>
        <v>n=</v>
      </c>
      <c r="H117" s="299">
        <f t="shared" ref="H117" si="1">$I$103*H115*H116</f>
        <v>253.18807045308236</v>
      </c>
    </row>
  </sheetData>
  <mergeCells count="2">
    <mergeCell ref="E106:F106"/>
    <mergeCell ref="G106:H106"/>
  </mergeCells>
  <phoneticPr fontId="3" type="noConversion"/>
  <conditionalFormatting sqref="F31">
    <cfRule type="expression" dxfId="2" priority="1" stopIfTrue="1">
      <formula>R9=0</formula>
    </cfRule>
  </conditionalFormatting>
  <hyperlinks>
    <hyperlink ref="L1" r:id="rId1"/>
    <hyperlink ref="L2" r:id="rId2"/>
  </hyperlinks>
  <pageMargins left="0.75" right="0.75" top="0.28999999999999998" bottom="1" header="0" footer="0"/>
  <pageSetup paperSize="9" scale="22" orientation="portrait" horizontalDpi="300" verticalDpi="300" r:id="rId3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9"/>
  <sheetViews>
    <sheetView showGridLines="0" workbookViewId="0">
      <selection activeCell="D12" sqref="D12"/>
    </sheetView>
  </sheetViews>
  <sheetFormatPr baseColWidth="10" defaultRowHeight="12.75" x14ac:dyDescent="0.2"/>
  <cols>
    <col min="1" max="1" width="3.42578125" customWidth="1"/>
    <col min="2" max="2" width="0.28515625" customWidth="1"/>
    <col min="3" max="3" width="2.5703125" customWidth="1"/>
    <col min="4" max="4" width="9" customWidth="1"/>
    <col min="5" max="5" width="8.7109375" customWidth="1"/>
    <col min="6" max="6" width="0" hidden="1" customWidth="1"/>
    <col min="7" max="7" width="13.140625" bestFit="1" customWidth="1"/>
    <col min="8" max="8" width="7" customWidth="1"/>
    <col min="9" max="10" width="7.42578125" customWidth="1"/>
    <col min="11" max="11" width="7.5703125" bestFit="1" customWidth="1"/>
    <col min="12" max="12" width="8.5703125" customWidth="1"/>
    <col min="13" max="13" width="9.42578125" customWidth="1"/>
    <col min="14" max="14" width="8.28515625" customWidth="1"/>
    <col min="15" max="15" width="1" customWidth="1"/>
    <col min="16" max="16" width="12.7109375" customWidth="1"/>
  </cols>
  <sheetData>
    <row r="1" spans="1:18" s="328" customFormat="1" x14ac:dyDescent="0.2"/>
    <row r="2" spans="1:18" s="328" customFormat="1" x14ac:dyDescent="0.2">
      <c r="A2" s="329" t="s">
        <v>133</v>
      </c>
      <c r="B2" s="329"/>
      <c r="C2" s="330" t="s">
        <v>134</v>
      </c>
      <c r="D2" s="331"/>
      <c r="E2" s="331"/>
      <c r="F2" s="331"/>
      <c r="G2" s="331"/>
      <c r="H2" s="331"/>
      <c r="I2" s="331"/>
      <c r="J2" s="331"/>
      <c r="K2" s="331"/>
      <c r="L2" s="331"/>
      <c r="M2" s="331"/>
      <c r="N2" s="331"/>
      <c r="O2" s="331"/>
      <c r="P2" s="331"/>
      <c r="Q2" s="331"/>
      <c r="R2" s="331"/>
    </row>
    <row r="3" spans="1:18" s="328" customFormat="1" x14ac:dyDescent="0.2"/>
    <row r="4" spans="1:18" s="328" customFormat="1" x14ac:dyDescent="0.2">
      <c r="A4" s="332" t="s">
        <v>126</v>
      </c>
      <c r="B4" s="332"/>
    </row>
    <row r="5" spans="1:18" s="328" customFormat="1" x14ac:dyDescent="0.2">
      <c r="A5" s="15"/>
      <c r="B5" s="333"/>
      <c r="D5" s="497" t="s">
        <v>122</v>
      </c>
      <c r="E5" s="497"/>
      <c r="F5" s="497"/>
      <c r="G5" s="334"/>
      <c r="H5" s="334"/>
      <c r="I5" s="497" t="str">
        <f>Inferencias!E11&amp;"%-IC(p)"</f>
        <v>0,95%-IC(p)</v>
      </c>
      <c r="J5" s="497"/>
      <c r="K5" s="334"/>
      <c r="L5" s="497" t="str">
        <f>I5&amp; " (%)"</f>
        <v>0,95%-IC(p) (%)</v>
      </c>
      <c r="M5" s="497"/>
      <c r="N5" s="335"/>
      <c r="O5" s="336"/>
      <c r="P5" s="337"/>
      <c r="Q5" s="497" t="s">
        <v>120</v>
      </c>
      <c r="R5" s="497"/>
    </row>
    <row r="6" spans="1:18" s="328" customFormat="1" x14ac:dyDescent="0.2">
      <c r="A6" s="15"/>
      <c r="B6" s="333"/>
      <c r="D6" s="338" t="s">
        <v>11</v>
      </c>
      <c r="E6" s="338" t="s">
        <v>12</v>
      </c>
      <c r="F6" s="339" t="s">
        <v>19</v>
      </c>
      <c r="G6" s="340" t="str">
        <f>Inferencias!D22</f>
        <v>Método</v>
      </c>
      <c r="H6" s="338" t="str">
        <f>Inferencias!I22</f>
        <v>Validez</v>
      </c>
      <c r="I6" s="338" t="str">
        <f>Inferencias!E22</f>
        <v>IC(-)</v>
      </c>
      <c r="J6" s="338" t="str">
        <f>Inferencias!G22</f>
        <v>IC(+)</v>
      </c>
      <c r="K6" s="338" t="str">
        <f>Inferencias!H22</f>
        <v>d</v>
      </c>
      <c r="L6" s="338" t="str">
        <f>Inferencias!J22</f>
        <v>IC(-)</v>
      </c>
      <c r="M6" s="338" t="str">
        <f>Inferencias!K22</f>
        <v>IC(+)</v>
      </c>
      <c r="N6" s="338" t="str">
        <f>Inferencias!L22</f>
        <v>d</v>
      </c>
      <c r="O6" s="341"/>
      <c r="P6" s="341" t="s">
        <v>118</v>
      </c>
      <c r="Q6" s="341" t="s">
        <v>119</v>
      </c>
      <c r="R6" s="341" t="s">
        <v>121</v>
      </c>
    </row>
    <row r="7" spans="1:18" s="328" customFormat="1" x14ac:dyDescent="0.2">
      <c r="A7" s="15"/>
      <c r="B7" s="333"/>
      <c r="D7" s="342">
        <f>Inferencias!E7</f>
        <v>84</v>
      </c>
      <c r="E7" s="343">
        <f>Inferencias!E8</f>
        <v>10</v>
      </c>
      <c r="F7" s="344">
        <f>D7-E7</f>
        <v>74</v>
      </c>
      <c r="G7" s="248" t="str">
        <f>Inferencias!D24</f>
        <v>Wilson</v>
      </c>
      <c r="H7" s="249" t="str">
        <f>Inferencias!I24</f>
        <v>Si</v>
      </c>
      <c r="I7" s="250">
        <f>Inferencias!E24</f>
        <v>6.1657480013023062E-2</v>
      </c>
      <c r="J7" s="250">
        <f>Inferencias!G24</f>
        <v>0.21247751050533376</v>
      </c>
      <c r="K7" s="250">
        <f>Inferencias!H24</f>
        <v>7.5410015246155343E-2</v>
      </c>
      <c r="L7" s="249">
        <f>Inferencias!J24</f>
        <v>6.1657480013023062E-2</v>
      </c>
      <c r="M7" s="249">
        <f>Inferencias!K24</f>
        <v>0.21247751050533376</v>
      </c>
      <c r="N7" s="249">
        <f>Inferencias!L24</f>
        <v>7.5410015246155343E-2</v>
      </c>
      <c r="O7" s="251"/>
      <c r="P7" s="338" t="str">
        <f>Inferencias!E32&amp;"%"</f>
        <v>0,05%</v>
      </c>
      <c r="Q7" s="345">
        <f>Inferencias!G34</f>
        <v>258</v>
      </c>
      <c r="R7" s="345">
        <f>Inferencias!G33</f>
        <v>385</v>
      </c>
    </row>
    <row r="8" spans="1:18" s="328" customFormat="1" x14ac:dyDescent="0.2">
      <c r="A8" s="15"/>
      <c r="B8" s="333"/>
      <c r="D8" s="346"/>
      <c r="E8" s="336"/>
      <c r="F8" s="347"/>
      <c r="G8" s="252" t="str">
        <f>Inferencias!D25</f>
        <v>Wald</v>
      </c>
      <c r="H8" s="253" t="str">
        <f>Inferencias!I25</f>
        <v>No</v>
      </c>
      <c r="I8" s="254">
        <f>Inferencias!E25</f>
        <v>4.3841212712045996E-2</v>
      </c>
      <c r="J8" s="254">
        <f>Inferencias!G25</f>
        <v>0.19425402538319209</v>
      </c>
      <c r="K8" s="254">
        <f>Inferencias!H25</f>
        <v>7.5206406335573045E-2</v>
      </c>
      <c r="L8" s="253">
        <f>Inferencias!J25</f>
        <v>4.3841212712045996E-2</v>
      </c>
      <c r="M8" s="253">
        <f>Inferencias!K25</f>
        <v>0.19425402538319209</v>
      </c>
      <c r="N8" s="253">
        <f>Inferencias!L25</f>
        <v>7.5206406335573045E-2</v>
      </c>
      <c r="O8" s="251"/>
      <c r="P8" s="348" t="str">
        <f>IF(Q7&lt;=D7,"No es necesario aumentar n","")</f>
        <v/>
      </c>
      <c r="Q8" s="349">
        <f>Inferencias!G35</f>
        <v>254</v>
      </c>
      <c r="R8" s="348"/>
    </row>
    <row r="9" spans="1:18" s="328" customFormat="1" x14ac:dyDescent="0.2">
      <c r="A9" s="15"/>
      <c r="B9" s="333"/>
      <c r="D9" s="350"/>
      <c r="E9" s="341"/>
      <c r="F9" s="351"/>
      <c r="G9" s="252" t="str">
        <f>Inferencias!D26</f>
        <v>Wald Ajustado</v>
      </c>
      <c r="H9" s="253" t="str">
        <f>Inferencias!I26</f>
        <v>Si</v>
      </c>
      <c r="I9" s="254">
        <f>Inferencias!E26</f>
        <v>6.466324900080532E-2</v>
      </c>
      <c r="J9" s="254">
        <f>Inferencias!G26</f>
        <v>0.20806402372646737</v>
      </c>
      <c r="K9" s="254">
        <f>Inferencias!H26</f>
        <v>7.1700387362831033E-2</v>
      </c>
      <c r="L9" s="253">
        <f>Inferencias!J26</f>
        <v>6.466324900080532E-2</v>
      </c>
      <c r="M9" s="253">
        <f>Inferencias!K26</f>
        <v>0.20806402372646737</v>
      </c>
      <c r="N9" s="253">
        <f>Inferencias!L26</f>
        <v>7.1700387362831033E-2</v>
      </c>
      <c r="O9" s="253"/>
      <c r="P9" s="352"/>
      <c r="Q9" s="352"/>
      <c r="R9" s="352"/>
    </row>
    <row r="10" spans="1:18" s="328" customFormat="1" x14ac:dyDescent="0.2">
      <c r="A10" s="15"/>
      <c r="B10" s="333"/>
    </row>
    <row r="11" spans="1:18" s="328" customFormat="1" x14ac:dyDescent="0.2">
      <c r="C11" s="334"/>
    </row>
    <row r="12" spans="1:18" s="328" customFormat="1" x14ac:dyDescent="0.2">
      <c r="C12" s="329" t="s">
        <v>164</v>
      </c>
      <c r="D12" s="331"/>
      <c r="E12" s="331"/>
      <c r="F12" s="331"/>
      <c r="G12" s="353" t="s">
        <v>139</v>
      </c>
      <c r="H12" s="331"/>
      <c r="I12" s="331"/>
      <c r="J12" s="331"/>
      <c r="K12" s="331"/>
      <c r="L12" s="331"/>
      <c r="M12" s="331"/>
      <c r="N12" s="331"/>
      <c r="O12" s="331"/>
      <c r="P12" s="331"/>
      <c r="Q12" s="331"/>
      <c r="R12" s="331"/>
    </row>
    <row r="13" spans="1:18" s="328" customFormat="1" x14ac:dyDescent="0.2"/>
    <row r="14" spans="1:18" s="328" customFormat="1" x14ac:dyDescent="0.2">
      <c r="A14" s="361" t="s">
        <v>165</v>
      </c>
      <c r="B14" s="361"/>
      <c r="C14" s="362" t="str">
        <f>C19&amp;D7&amp;" "&amp;C20&amp;E7&amp;" "&amp;C21&amp;P7&amp;" "&amp;C22&amp;" "&amp;Inferencias!E11&amp;"%."</f>
        <v>Se desea estimar la frecuencia con la que aparece la tendinitis de muñeca en jugadores de tenis que comienzan a practicar este deporte con una edad superior a 30 años. Para ello se ha considerado una muestra de 84 jugadores, de los cuales 10 han presentado este tipo de lesión. A partir de estos datos, estime la proporción de lesionados y qué tamaño de muestra es necesario para que dicha precisión sea del 0,05% con una confianza del 0,95%.</v>
      </c>
    </row>
    <row r="15" spans="1:18" s="328" customFormat="1" x14ac:dyDescent="0.2">
      <c r="A15" s="361" t="s">
        <v>166</v>
      </c>
      <c r="B15" s="361"/>
      <c r="C15" s="362" t="str">
        <f>C31</f>
        <v>Solución: Wilson (0,062, 0,212) d=0,075; Wald (0,044, 0,194) d=0,075; Wald Ajustado (0,065, 0,208) d=0,072; n(δ=0,05%) = 258 (Wilson), 254 (Wald ajust.), 385 (sin inf.)</v>
      </c>
    </row>
    <row r="16" spans="1:18" s="328" customFormat="1" x14ac:dyDescent="0.2"/>
    <row r="17" spans="1:24" s="328" customFormat="1" x14ac:dyDescent="0.2"/>
    <row r="18" spans="1:24" s="328" customFormat="1" x14ac:dyDescent="0.2">
      <c r="C18" s="329" t="s">
        <v>138</v>
      </c>
      <c r="D18" s="331"/>
      <c r="E18" s="331"/>
      <c r="F18" s="331"/>
      <c r="G18" s="331"/>
      <c r="H18" s="353" t="s">
        <v>159</v>
      </c>
      <c r="I18" s="331"/>
      <c r="J18" s="331"/>
      <c r="K18" s="331"/>
      <c r="L18" s="331"/>
      <c r="M18" s="331"/>
      <c r="N18" s="331"/>
      <c r="O18" s="331"/>
      <c r="P18" s="331"/>
      <c r="Q18" s="331"/>
      <c r="R18" s="331"/>
    </row>
    <row r="19" spans="1:24" s="256" customFormat="1" x14ac:dyDescent="0.2">
      <c r="A19" s="326" t="s">
        <v>151</v>
      </c>
      <c r="B19" s="326"/>
      <c r="C19" s="501" t="s">
        <v>135</v>
      </c>
      <c r="D19" s="501"/>
      <c r="E19" s="501"/>
      <c r="F19" s="501"/>
      <c r="G19" s="501"/>
      <c r="H19" s="501"/>
      <c r="I19" s="501"/>
      <c r="J19" s="501"/>
      <c r="K19" s="501"/>
      <c r="L19" s="501"/>
      <c r="M19" s="501"/>
      <c r="N19" s="501"/>
      <c r="O19" s="501"/>
      <c r="P19" s="501"/>
      <c r="Q19" s="501"/>
      <c r="R19" s="501"/>
      <c r="S19" s="501"/>
      <c r="T19" s="501"/>
      <c r="U19" s="501"/>
      <c r="V19" s="501"/>
      <c r="W19" s="501"/>
      <c r="X19" s="327" t="s">
        <v>154</v>
      </c>
    </row>
    <row r="20" spans="1:24" s="256" customFormat="1" x14ac:dyDescent="0.2">
      <c r="A20" s="326" t="s">
        <v>152</v>
      </c>
      <c r="B20" s="326"/>
      <c r="C20" s="501" t="s">
        <v>136</v>
      </c>
      <c r="D20" s="501"/>
      <c r="E20" s="501"/>
      <c r="F20" s="501"/>
      <c r="G20" s="501"/>
      <c r="H20" s="501"/>
      <c r="I20" s="501"/>
      <c r="J20" s="501"/>
      <c r="K20" s="501"/>
      <c r="L20" s="501"/>
      <c r="M20" s="501"/>
      <c r="N20" s="501"/>
      <c r="O20" s="501"/>
      <c r="P20" s="501"/>
      <c r="Q20" s="501"/>
      <c r="R20" s="501"/>
      <c r="S20" s="501"/>
      <c r="T20" s="501"/>
      <c r="U20" s="501"/>
      <c r="V20" s="501"/>
      <c r="W20" s="501"/>
      <c r="X20" s="327" t="s">
        <v>155</v>
      </c>
    </row>
    <row r="21" spans="1:24" s="256" customFormat="1" x14ac:dyDescent="0.2">
      <c r="A21" s="326" t="s">
        <v>153</v>
      </c>
      <c r="B21" s="326"/>
      <c r="C21" s="501" t="s">
        <v>137</v>
      </c>
      <c r="D21" s="501"/>
      <c r="E21" s="501"/>
      <c r="F21" s="501"/>
      <c r="G21" s="501"/>
      <c r="H21" s="501"/>
      <c r="I21" s="501"/>
      <c r="J21" s="501"/>
      <c r="K21" s="501"/>
      <c r="L21" s="501"/>
      <c r="M21" s="501"/>
      <c r="N21" s="501"/>
      <c r="O21" s="501"/>
      <c r="P21" s="501"/>
      <c r="Q21" s="501"/>
      <c r="R21" s="501"/>
      <c r="S21" s="501"/>
      <c r="T21" s="501"/>
      <c r="U21" s="501"/>
      <c r="V21" s="501"/>
      <c r="W21" s="501"/>
      <c r="X21" s="327" t="s">
        <v>156</v>
      </c>
    </row>
    <row r="22" spans="1:24" s="256" customFormat="1" x14ac:dyDescent="0.2">
      <c r="A22" s="326" t="s">
        <v>157</v>
      </c>
      <c r="B22" s="326"/>
      <c r="C22" s="501" t="s">
        <v>160</v>
      </c>
      <c r="D22" s="501"/>
      <c r="E22" s="501"/>
      <c r="F22" s="501"/>
      <c r="G22" s="501"/>
      <c r="H22" s="501"/>
      <c r="I22" s="501"/>
      <c r="J22" s="501"/>
      <c r="K22" s="501"/>
      <c r="L22" s="501"/>
      <c r="M22" s="501"/>
      <c r="N22" s="501"/>
      <c r="O22" s="501"/>
      <c r="P22" s="501"/>
      <c r="Q22" s="501"/>
      <c r="R22" s="501"/>
      <c r="S22" s="501"/>
      <c r="T22" s="501"/>
      <c r="U22" s="501"/>
      <c r="V22" s="501"/>
      <c r="W22" s="501"/>
      <c r="X22" s="327" t="s">
        <v>158</v>
      </c>
    </row>
    <row r="23" spans="1:24" s="256" customFormat="1" x14ac:dyDescent="0.2"/>
    <row r="24" spans="1:24" s="328" customFormat="1" x14ac:dyDescent="0.2">
      <c r="C24" s="354" t="s">
        <v>150</v>
      </c>
    </row>
    <row r="25" spans="1:24" s="328" customFormat="1" x14ac:dyDescent="0.2">
      <c r="C25" s="356" t="s">
        <v>161</v>
      </c>
    </row>
    <row r="26" spans="1:24" s="328" customFormat="1" x14ac:dyDescent="0.2">
      <c r="C26" s="356" t="s">
        <v>149</v>
      </c>
      <c r="E26" s="355" t="s">
        <v>148</v>
      </c>
    </row>
    <row r="27" spans="1:24" s="328" customFormat="1" x14ac:dyDescent="0.2">
      <c r="C27" s="356" t="str">
        <f>G7&amp;" ("&amp;ROUND(I7,3)&amp;", "&amp;ROUND(J7,3)&amp;") d="&amp;ROUND(K7,3)</f>
        <v>Wilson (0,062, 0,212) d=0,075</v>
      </c>
    </row>
    <row r="28" spans="1:24" s="328" customFormat="1" x14ac:dyDescent="0.2">
      <c r="C28" s="356" t="str">
        <f>G8&amp;" ("&amp;ROUND(I8,3)&amp;", "&amp;ROUND(J8,3)&amp;") d="&amp;ROUND(K8,3)</f>
        <v>Wald (0,044, 0,194) d=0,075</v>
      </c>
    </row>
    <row r="29" spans="1:24" s="328" customFormat="1" x14ac:dyDescent="0.2">
      <c r="C29" s="356" t="str">
        <f>G9&amp;" ("&amp;ROUND(I9,3)&amp;", "&amp;ROUND(J9,3)&amp;") d="&amp;ROUND(K9,3)</f>
        <v>Wald Ajustado (0,065, 0,208) d=0,072</v>
      </c>
    </row>
    <row r="30" spans="1:24" s="328" customFormat="1" x14ac:dyDescent="0.2">
      <c r="C30" s="356" t="str">
        <f>"n("&amp;E26&amp;"="&amp;P7&amp;") = "&amp;Q7&amp;" (Wilson), "&amp;Q8&amp;" (Wald ajust.), "&amp;R7&amp;" (sin inf.)"</f>
        <v>n(δ=0,05%) = 258 (Wilson), 254 (Wald ajust.), 385 (sin inf.)</v>
      </c>
    </row>
    <row r="31" spans="1:24" s="328" customFormat="1" x14ac:dyDescent="0.2">
      <c r="C31" s="356" t="str">
        <f>C25&amp;" "&amp;C27&amp;"; "&amp;C28&amp;"; "&amp;C29&amp;"; "&amp;C30</f>
        <v>Solución: Wilson (0,062, 0,212) d=0,075; Wald (0,044, 0,194) d=0,075; Wald Ajustado (0,065, 0,208) d=0,072; n(δ=0,05%) = 258 (Wilson), 254 (Wald ajust.), 385 (sin inf.)</v>
      </c>
    </row>
    <row r="32" spans="1:24" s="328" customFormat="1" x14ac:dyDescent="0.2"/>
    <row r="33" spans="1:18" s="328" customFormat="1" x14ac:dyDescent="0.2"/>
    <row r="34" spans="1:18" s="328" customFormat="1" x14ac:dyDescent="0.2"/>
    <row r="35" spans="1:18" s="328" customFormat="1" x14ac:dyDescent="0.2"/>
    <row r="36" spans="1:18" s="256" customFormat="1" x14ac:dyDescent="0.2">
      <c r="A36" s="255" t="s">
        <v>125</v>
      </c>
      <c r="B36" s="255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</row>
    <row r="37" spans="1:18" s="256" customFormat="1" x14ac:dyDescent="0.2">
      <c r="A37" s="255"/>
      <c r="B37" s="255"/>
      <c r="C37"/>
      <c r="D37"/>
      <c r="E37"/>
      <c r="F37"/>
      <c r="G37"/>
      <c r="H37"/>
      <c r="I37"/>
      <c r="J37"/>
      <c r="K37"/>
      <c r="L37"/>
      <c r="M37"/>
      <c r="N37"/>
      <c r="O37"/>
      <c r="P37" s="247"/>
      <c r="Q37"/>
      <c r="R37"/>
    </row>
    <row r="38" spans="1:18" s="256" customFormat="1" x14ac:dyDescent="0.2">
      <c r="C38" s="257"/>
      <c r="D38" s="498" t="s">
        <v>122</v>
      </c>
      <c r="E38" s="498"/>
      <c r="F38" s="498"/>
      <c r="G38" s="258"/>
      <c r="H38" s="258"/>
      <c r="I38" s="258"/>
      <c r="J38" s="258"/>
      <c r="K38" s="258"/>
      <c r="L38" s="498" t="s">
        <v>93</v>
      </c>
      <c r="M38" s="498"/>
      <c r="N38" s="498"/>
      <c r="O38" s="259"/>
      <c r="P38" s="260" t="s">
        <v>35</v>
      </c>
      <c r="Q38" s="499" t="s">
        <v>120</v>
      </c>
      <c r="R38" s="500"/>
    </row>
    <row r="39" spans="1:18" s="256" customFormat="1" x14ac:dyDescent="0.2">
      <c r="C39" s="261" t="s">
        <v>128</v>
      </c>
      <c r="D39" s="262" t="s">
        <v>11</v>
      </c>
      <c r="E39" s="262" t="s">
        <v>12</v>
      </c>
      <c r="F39" s="263" t="s">
        <v>19</v>
      </c>
      <c r="G39" s="264" t="s">
        <v>17</v>
      </c>
      <c r="H39" s="262" t="s">
        <v>90</v>
      </c>
      <c r="I39" s="262" t="s">
        <v>88</v>
      </c>
      <c r="J39" s="262" t="s">
        <v>89</v>
      </c>
      <c r="K39" s="262" t="s">
        <v>14</v>
      </c>
      <c r="L39" s="262" t="s">
        <v>88</v>
      </c>
      <c r="M39" s="262" t="s">
        <v>89</v>
      </c>
      <c r="N39" s="262" t="s">
        <v>14</v>
      </c>
      <c r="O39" s="265"/>
      <c r="P39" s="266" t="s">
        <v>132</v>
      </c>
      <c r="Q39" s="266" t="s">
        <v>119</v>
      </c>
      <c r="R39" s="267" t="s">
        <v>121</v>
      </c>
    </row>
    <row r="40" spans="1:18" s="256" customFormat="1" x14ac:dyDescent="0.2">
      <c r="C40" s="506">
        <v>1</v>
      </c>
      <c r="D40" s="268">
        <v>113</v>
      </c>
      <c r="E40" s="259">
        <v>42</v>
      </c>
      <c r="F40" s="269">
        <v>71</v>
      </c>
      <c r="G40" s="270" t="s">
        <v>77</v>
      </c>
      <c r="H40" s="271" t="s">
        <v>91</v>
      </c>
      <c r="I40" s="272">
        <v>0.28410461858366437</v>
      </c>
      <c r="J40" s="272">
        <v>0.46810741706885772</v>
      </c>
      <c r="K40" s="272">
        <v>9.2001399242596676E-2</v>
      </c>
      <c r="L40" s="271">
        <v>0.28410461858366437</v>
      </c>
      <c r="M40" s="271">
        <v>0.46810741706885772</v>
      </c>
      <c r="N40" s="271">
        <v>9.2001399242596676E-2</v>
      </c>
      <c r="O40" s="273"/>
      <c r="P40" s="260" t="s">
        <v>123</v>
      </c>
      <c r="Q40" s="274">
        <v>383</v>
      </c>
      <c r="R40" s="275">
        <v>385</v>
      </c>
    </row>
    <row r="41" spans="1:18" s="256" customFormat="1" x14ac:dyDescent="0.2">
      <c r="C41" s="506"/>
      <c r="D41" s="276"/>
      <c r="E41" s="262"/>
      <c r="F41" s="277"/>
      <c r="G41" s="278" t="s">
        <v>78</v>
      </c>
      <c r="H41" s="279" t="s">
        <v>91</v>
      </c>
      <c r="I41" s="280">
        <v>0.27815529513934684</v>
      </c>
      <c r="J41" s="280">
        <v>0.46520753671906029</v>
      </c>
      <c r="K41" s="280">
        <v>9.3526120789856726E-2</v>
      </c>
      <c r="L41" s="279">
        <v>0.27815529513934684</v>
      </c>
      <c r="M41" s="279">
        <v>0.46520753671906029</v>
      </c>
      <c r="N41" s="279">
        <v>9.3526120789856726E-2</v>
      </c>
      <c r="O41" s="273"/>
      <c r="P41" s="507" t="s">
        <v>124</v>
      </c>
      <c r="Q41" s="507"/>
      <c r="R41" s="508"/>
    </row>
    <row r="42" spans="1:18" s="256" customFormat="1" x14ac:dyDescent="0.2">
      <c r="C42" s="506"/>
      <c r="D42" s="276"/>
      <c r="E42" s="262"/>
      <c r="F42" s="281"/>
      <c r="G42" s="278" t="s">
        <v>87</v>
      </c>
      <c r="H42" s="279" t="s">
        <v>91</v>
      </c>
      <c r="I42" s="280">
        <v>0.28829615936043274</v>
      </c>
      <c r="J42" s="280">
        <v>0.46384059277631939</v>
      </c>
      <c r="K42" s="280">
        <v>8.7772216707943329E-2</v>
      </c>
      <c r="L42" s="279">
        <v>0.28829615936043274</v>
      </c>
      <c r="M42" s="279">
        <v>0.46384059277631939</v>
      </c>
      <c r="N42" s="279">
        <v>8.7772216707943329E-2</v>
      </c>
      <c r="O42" s="279"/>
      <c r="P42" s="509"/>
      <c r="Q42" s="509"/>
      <c r="R42" s="510"/>
    </row>
    <row r="43" spans="1:18" s="256" customFormat="1" x14ac:dyDescent="0.2">
      <c r="C43" s="506">
        <f>C40+1</f>
        <v>2</v>
      </c>
      <c r="D43" s="268">
        <v>11</v>
      </c>
      <c r="E43" s="259">
        <v>6</v>
      </c>
      <c r="F43" s="277">
        <v>5</v>
      </c>
      <c r="G43" s="278" t="s">
        <v>77</v>
      </c>
      <c r="H43" s="282" t="s">
        <v>92</v>
      </c>
      <c r="I43" s="283">
        <v>0.24562185286073038</v>
      </c>
      <c r="J43" s="283">
        <v>0.81862133332353704</v>
      </c>
      <c r="K43" s="283">
        <v>0.28649974023140334</v>
      </c>
      <c r="L43" s="284">
        <v>0.24562185286073038</v>
      </c>
      <c r="M43" s="284">
        <v>0.81862133332353704</v>
      </c>
      <c r="N43" s="284">
        <v>0.28649974023140334</v>
      </c>
      <c r="O43" s="273"/>
      <c r="P43" s="260" t="s">
        <v>127</v>
      </c>
      <c r="Q43" s="274">
        <v>196</v>
      </c>
      <c r="R43" s="275">
        <v>196</v>
      </c>
    </row>
    <row r="44" spans="1:18" s="256" customFormat="1" x14ac:dyDescent="0.2">
      <c r="C44" s="506"/>
      <c r="D44" s="276"/>
      <c r="E44" s="262"/>
      <c r="F44" s="281"/>
      <c r="G44" s="278" t="s">
        <v>78</v>
      </c>
      <c r="H44" s="282" t="s">
        <v>92</v>
      </c>
      <c r="I44" s="283">
        <v>0.20574781891846156</v>
      </c>
      <c r="J44" s="283">
        <v>0.88516127199062922</v>
      </c>
      <c r="K44" s="283">
        <v>0.3397067265360838</v>
      </c>
      <c r="L44" s="284">
        <v>0.20574781891846156</v>
      </c>
      <c r="M44" s="284">
        <v>0.88516127199062922</v>
      </c>
      <c r="N44" s="284">
        <v>0.3397067265360838</v>
      </c>
      <c r="O44" s="279"/>
      <c r="P44" s="507" t="str">
        <f>IF(Q43&lt;=D43,"No es necesario aumentar n","")</f>
        <v/>
      </c>
      <c r="Q44" s="507"/>
      <c r="R44" s="508"/>
    </row>
    <row r="45" spans="1:18" s="256" customFormat="1" x14ac:dyDescent="0.2">
      <c r="C45" s="506"/>
      <c r="D45" s="285"/>
      <c r="E45" s="265"/>
      <c r="F45" s="269"/>
      <c r="G45" s="270" t="s">
        <v>87</v>
      </c>
      <c r="H45" s="271" t="s">
        <v>91</v>
      </c>
      <c r="I45" s="272">
        <v>0.28086598658726641</v>
      </c>
      <c r="J45" s="272">
        <v>0.78580068007940018</v>
      </c>
      <c r="K45" s="272">
        <v>0.25246734674606691</v>
      </c>
      <c r="L45" s="271">
        <v>0.28086598658726641</v>
      </c>
      <c r="M45" s="271">
        <v>0.78580068007940018</v>
      </c>
      <c r="N45" s="271">
        <v>0.25246734674606691</v>
      </c>
      <c r="O45" s="271"/>
      <c r="P45" s="509"/>
      <c r="Q45" s="509"/>
      <c r="R45" s="510"/>
    </row>
    <row r="46" spans="1:18" s="256" customFormat="1" x14ac:dyDescent="0.2">
      <c r="C46" s="506">
        <f>C43+1</f>
        <v>3</v>
      </c>
      <c r="D46" s="268">
        <v>30</v>
      </c>
      <c r="E46" s="259">
        <v>24</v>
      </c>
      <c r="F46" s="269">
        <v>6</v>
      </c>
      <c r="G46" s="270" t="s">
        <v>77</v>
      </c>
      <c r="H46" s="271" t="s">
        <v>91</v>
      </c>
      <c r="I46" s="272">
        <v>0.60869261802282904</v>
      </c>
      <c r="J46" s="272">
        <v>0.91595235930801222</v>
      </c>
      <c r="K46" s="272">
        <v>0.15362987064259159</v>
      </c>
      <c r="L46" s="271">
        <v>0.60869261802282904</v>
      </c>
      <c r="M46" s="271">
        <v>0.91595235930801222</v>
      </c>
      <c r="N46" s="271">
        <v>0.15362987064259159</v>
      </c>
      <c r="O46" s="273"/>
      <c r="P46" s="260" t="s">
        <v>127</v>
      </c>
      <c r="Q46" s="274">
        <v>187</v>
      </c>
      <c r="R46" s="275">
        <v>196</v>
      </c>
    </row>
    <row r="47" spans="1:18" s="256" customFormat="1" x14ac:dyDescent="0.2">
      <c r="C47" s="506"/>
      <c r="D47" s="276"/>
      <c r="E47" s="262"/>
      <c r="F47" s="277"/>
      <c r="G47" s="278" t="s">
        <v>78</v>
      </c>
      <c r="H47" s="282" t="s">
        <v>92</v>
      </c>
      <c r="I47" s="283">
        <v>0.64019780183596087</v>
      </c>
      <c r="J47" s="283">
        <v>0.95980219816403922</v>
      </c>
      <c r="K47" s="283">
        <v>0.15980219816403918</v>
      </c>
      <c r="L47" s="284">
        <v>0.64019780183596087</v>
      </c>
      <c r="M47" s="284">
        <v>0.95980219816403922</v>
      </c>
      <c r="N47" s="284">
        <v>0.15980219816403918</v>
      </c>
      <c r="O47" s="273"/>
      <c r="P47" s="507" t="s">
        <v>124</v>
      </c>
      <c r="Q47" s="507"/>
      <c r="R47" s="508"/>
    </row>
    <row r="48" spans="1:18" s="256" customFormat="1" x14ac:dyDescent="0.2">
      <c r="C48" s="506"/>
      <c r="D48" s="285"/>
      <c r="E48" s="265"/>
      <c r="F48" s="281"/>
      <c r="G48" s="278" t="s">
        <v>87</v>
      </c>
      <c r="H48" s="279" t="s">
        <v>91</v>
      </c>
      <c r="I48" s="280">
        <v>0.62212497211104534</v>
      </c>
      <c r="J48" s="280">
        <v>0.90728679259483691</v>
      </c>
      <c r="K48" s="280">
        <v>0.14258091024189576</v>
      </c>
      <c r="L48" s="279">
        <v>0.62212497211104534</v>
      </c>
      <c r="M48" s="279">
        <v>0.90728679259483691</v>
      </c>
      <c r="N48" s="279">
        <v>0.14258091024189576</v>
      </c>
      <c r="O48" s="279"/>
      <c r="P48" s="509"/>
      <c r="Q48" s="509"/>
      <c r="R48" s="510"/>
    </row>
    <row r="49" spans="3:18" s="256" customFormat="1" x14ac:dyDescent="0.2">
      <c r="C49" s="506">
        <f>C46+1</f>
        <v>4</v>
      </c>
      <c r="D49" s="268">
        <v>150</v>
      </c>
      <c r="E49" s="259">
        <v>103</v>
      </c>
      <c r="F49" s="269">
        <v>47</v>
      </c>
      <c r="G49" s="270" t="s">
        <v>77</v>
      </c>
      <c r="H49" s="271" t="s">
        <v>91</v>
      </c>
      <c r="I49" s="272">
        <v>0.60510601255157836</v>
      </c>
      <c r="J49" s="272">
        <v>0.75849255747362221</v>
      </c>
      <c r="K49" s="272">
        <v>7.6693272461021922E-2</v>
      </c>
      <c r="L49" s="271">
        <v>0.60510601255157836</v>
      </c>
      <c r="M49" s="271">
        <v>0.75849255747362221</v>
      </c>
      <c r="N49" s="271">
        <v>7.6693272461021922E-2</v>
      </c>
      <c r="O49" s="273"/>
      <c r="P49" s="260" t="s">
        <v>129</v>
      </c>
      <c r="Q49" s="286">
        <v>92</v>
      </c>
      <c r="R49" s="287">
        <v>97</v>
      </c>
    </row>
    <row r="50" spans="3:18" s="256" customFormat="1" x14ac:dyDescent="0.2">
      <c r="C50" s="506"/>
      <c r="D50" s="276"/>
      <c r="E50" s="262"/>
      <c r="F50" s="277"/>
      <c r="G50" s="278" t="s">
        <v>78</v>
      </c>
      <c r="H50" s="279" t="s">
        <v>91</v>
      </c>
      <c r="I50" s="280">
        <v>0.6091034558485795</v>
      </c>
      <c r="J50" s="280">
        <v>0.76422987748475379</v>
      </c>
      <c r="K50" s="280">
        <v>7.7563210818087147E-2</v>
      </c>
      <c r="L50" s="279">
        <v>0.6091034558485795</v>
      </c>
      <c r="M50" s="279">
        <v>0.76422987748475379</v>
      </c>
      <c r="N50" s="279">
        <v>7.7563210818087147E-2</v>
      </c>
      <c r="O50" s="273"/>
      <c r="P50" s="502" t="s">
        <v>130</v>
      </c>
      <c r="Q50" s="502"/>
      <c r="R50" s="503"/>
    </row>
    <row r="51" spans="3:18" s="256" customFormat="1" x14ac:dyDescent="0.2">
      <c r="C51" s="506"/>
      <c r="D51" s="285"/>
      <c r="E51" s="265"/>
      <c r="F51" s="281"/>
      <c r="G51" s="278" t="s">
        <v>87</v>
      </c>
      <c r="H51" s="279" t="s">
        <v>91</v>
      </c>
      <c r="I51" s="280">
        <v>0.60825513654779717</v>
      </c>
      <c r="J51" s="280">
        <v>0.75538122708856636</v>
      </c>
      <c r="K51" s="280">
        <v>7.3563045270384583E-2</v>
      </c>
      <c r="L51" s="279">
        <v>0.60825513654779717</v>
      </c>
      <c r="M51" s="279">
        <v>0.75538122708856636</v>
      </c>
      <c r="N51" s="279">
        <v>7.3563045270384583E-2</v>
      </c>
      <c r="O51" s="279"/>
      <c r="P51" s="504"/>
      <c r="Q51" s="504"/>
      <c r="R51" s="505"/>
    </row>
    <row r="52" spans="3:18" s="256" customFormat="1" x14ac:dyDescent="0.2">
      <c r="C52" s="506">
        <f>C49+1</f>
        <v>5</v>
      </c>
      <c r="D52" s="268">
        <v>63</v>
      </c>
      <c r="E52" s="259">
        <v>32</v>
      </c>
      <c r="F52" s="269">
        <v>31</v>
      </c>
      <c r="G52" s="270" t="s">
        <v>77</v>
      </c>
      <c r="H52" s="271" t="s">
        <v>91</v>
      </c>
      <c r="I52" s="272">
        <v>0.38013424218229408</v>
      </c>
      <c r="J52" s="272">
        <v>0.63476958923234361</v>
      </c>
      <c r="K52" s="272">
        <v>0.12731767352502477</v>
      </c>
      <c r="L52" s="271">
        <v>0.38013424218229408</v>
      </c>
      <c r="M52" s="271">
        <v>0.63476958923234361</v>
      </c>
      <c r="N52" s="271">
        <v>0.12731767352502477</v>
      </c>
      <c r="O52" s="273"/>
      <c r="P52" s="260" t="s">
        <v>131</v>
      </c>
      <c r="Q52" s="274">
        <v>1068</v>
      </c>
      <c r="R52" s="275">
        <v>1068</v>
      </c>
    </row>
    <row r="53" spans="3:18" s="256" customFormat="1" x14ac:dyDescent="0.2">
      <c r="C53" s="506"/>
      <c r="D53" s="276"/>
      <c r="E53" s="262"/>
      <c r="F53" s="277"/>
      <c r="G53" s="278" t="s">
        <v>78</v>
      </c>
      <c r="H53" s="279" t="s">
        <v>91</v>
      </c>
      <c r="I53" s="280">
        <v>0.376549429031934</v>
      </c>
      <c r="J53" s="280">
        <v>0.63932358684108181</v>
      </c>
      <c r="K53" s="280">
        <v>0.13138707890457391</v>
      </c>
      <c r="L53" s="279">
        <v>0.376549429031934</v>
      </c>
      <c r="M53" s="279">
        <v>0.63932358684108181</v>
      </c>
      <c r="N53" s="279">
        <v>0.13138707890457391</v>
      </c>
      <c r="O53" s="273"/>
      <c r="P53" s="502" t="s">
        <v>124</v>
      </c>
      <c r="Q53" s="502"/>
      <c r="R53" s="503"/>
    </row>
    <row r="54" spans="3:18" s="256" customFormat="1" x14ac:dyDescent="0.2">
      <c r="C54" s="506"/>
      <c r="D54" s="285"/>
      <c r="E54" s="265"/>
      <c r="F54" s="281"/>
      <c r="G54" s="278" t="s">
        <v>87</v>
      </c>
      <c r="H54" s="279" t="s">
        <v>91</v>
      </c>
      <c r="I54" s="280">
        <v>0.38775216708297616</v>
      </c>
      <c r="J54" s="280">
        <v>0.62717320605135218</v>
      </c>
      <c r="K54" s="280">
        <v>0.11971051948418804</v>
      </c>
      <c r="L54" s="279">
        <v>0.38775216708297616</v>
      </c>
      <c r="M54" s="279">
        <v>0.62717320605135218</v>
      </c>
      <c r="N54" s="279">
        <v>0.11971051948418804</v>
      </c>
      <c r="O54" s="279"/>
      <c r="P54" s="504"/>
      <c r="Q54" s="504"/>
      <c r="R54" s="505"/>
    </row>
    <row r="55" spans="3:18" s="256" customFormat="1" x14ac:dyDescent="0.2"/>
    <row r="56" spans="3:18" s="256" customFormat="1" x14ac:dyDescent="0.2"/>
    <row r="57" spans="3:18" s="256" customFormat="1" x14ac:dyDescent="0.2"/>
    <row r="58" spans="3:18" s="256" customFormat="1" x14ac:dyDescent="0.2"/>
    <row r="59" spans="3:18" s="256" customFormat="1" x14ac:dyDescent="0.2"/>
    <row r="60" spans="3:18" s="256" customFormat="1" x14ac:dyDescent="0.2"/>
    <row r="61" spans="3:18" s="256" customFormat="1" x14ac:dyDescent="0.2"/>
    <row r="62" spans="3:18" s="256" customFormat="1" x14ac:dyDescent="0.2"/>
    <row r="63" spans="3:18" s="256" customFormat="1" x14ac:dyDescent="0.2"/>
    <row r="64" spans="3:18" s="256" customFormat="1" x14ac:dyDescent="0.2"/>
    <row r="65" s="256" customFormat="1" x14ac:dyDescent="0.2"/>
    <row r="66" s="256" customFormat="1" x14ac:dyDescent="0.2"/>
    <row r="67" s="256" customFormat="1" x14ac:dyDescent="0.2"/>
    <row r="68" s="256" customFormat="1" x14ac:dyDescent="0.2"/>
    <row r="69" s="256" customFormat="1" x14ac:dyDescent="0.2"/>
  </sheetData>
  <sheetProtection sheet="1" objects="1" scenarios="1" formatCells="0"/>
  <mergeCells count="21">
    <mergeCell ref="P53:R54"/>
    <mergeCell ref="C46:C48"/>
    <mergeCell ref="C43:C45"/>
    <mergeCell ref="C40:C42"/>
    <mergeCell ref="C49:C51"/>
    <mergeCell ref="C52:C54"/>
    <mergeCell ref="P41:R42"/>
    <mergeCell ref="P44:R45"/>
    <mergeCell ref="P47:R48"/>
    <mergeCell ref="P50:R51"/>
    <mergeCell ref="Q5:R5"/>
    <mergeCell ref="D5:F5"/>
    <mergeCell ref="D38:F38"/>
    <mergeCell ref="L38:N38"/>
    <mergeCell ref="Q38:R38"/>
    <mergeCell ref="I5:J5"/>
    <mergeCell ref="L5:M5"/>
    <mergeCell ref="C19:W19"/>
    <mergeCell ref="C20:W20"/>
    <mergeCell ref="C21:W21"/>
    <mergeCell ref="C22:W22"/>
  </mergeCells>
  <pageMargins left="0.7" right="0.7" top="0.75" bottom="0.75" header="0.3" footer="0.3"/>
  <pageSetup paperSize="9"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"/>
  <sheetViews>
    <sheetView workbookViewId="0">
      <selection activeCell="B30" sqref="B30"/>
    </sheetView>
  </sheetViews>
  <sheetFormatPr baseColWidth="10" defaultRowHeight="12.75" x14ac:dyDescent="0.2"/>
  <cols>
    <col min="1" max="1" width="1.7109375" customWidth="1"/>
    <col min="2" max="2" width="181.85546875" customWidth="1"/>
  </cols>
  <sheetData>
    <row r="1" spans="1:2" x14ac:dyDescent="0.2">
      <c r="A1" s="255" t="s">
        <v>162</v>
      </c>
    </row>
    <row r="2" spans="1:2" x14ac:dyDescent="0.2">
      <c r="A2" s="255"/>
    </row>
    <row r="3" spans="1:2" s="247" customFormat="1" x14ac:dyDescent="0.2">
      <c r="A3" s="360" t="s">
        <v>163</v>
      </c>
    </row>
    <row r="4" spans="1:2" x14ac:dyDescent="0.2">
      <c r="A4">
        <v>1</v>
      </c>
      <c r="B4" s="358" t="s">
        <v>135</v>
      </c>
    </row>
    <row r="5" spans="1:2" x14ac:dyDescent="0.2">
      <c r="A5">
        <v>2</v>
      </c>
      <c r="B5" t="s">
        <v>136</v>
      </c>
    </row>
    <row r="6" spans="1:2" x14ac:dyDescent="0.2">
      <c r="A6">
        <v>3</v>
      </c>
      <c r="B6" t="s">
        <v>137</v>
      </c>
    </row>
    <row r="7" spans="1:2" s="247" customFormat="1" x14ac:dyDescent="0.2">
      <c r="A7" s="247">
        <v>4</v>
      </c>
      <c r="B7" s="247" t="s">
        <v>160</v>
      </c>
    </row>
    <row r="8" spans="1:2" x14ac:dyDescent="0.2">
      <c r="B8" s="357"/>
    </row>
    <row r="9" spans="1:2" x14ac:dyDescent="0.2">
      <c r="B9" s="357"/>
    </row>
    <row r="10" spans="1:2" x14ac:dyDescent="0.2">
      <c r="B10" s="357"/>
    </row>
    <row r="17" spans="2:2" x14ac:dyDescent="0.2">
      <c r="B17" s="359"/>
    </row>
    <row r="18" spans="2:2" x14ac:dyDescent="0.2">
      <c r="B18" s="359"/>
    </row>
    <row r="19" spans="2:2" x14ac:dyDescent="0.2">
      <c r="B19" s="359"/>
    </row>
    <row r="20" spans="2:2" x14ac:dyDescent="0.2">
      <c r="B20" s="359"/>
    </row>
  </sheetData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5"/>
  <sheetViews>
    <sheetView showGridLines="0" workbookViewId="0">
      <selection activeCell="D30" sqref="D30"/>
    </sheetView>
  </sheetViews>
  <sheetFormatPr baseColWidth="10" defaultRowHeight="12.75" x14ac:dyDescent="0.2"/>
  <cols>
    <col min="1" max="7" width="11.42578125" style="372"/>
    <col min="8" max="8" width="12.28515625" style="372" bestFit="1" customWidth="1"/>
    <col min="9" max="16384" width="11.42578125" style="372"/>
  </cols>
  <sheetData>
    <row r="1" spans="1:18" x14ac:dyDescent="0.2">
      <c r="C1" s="394" t="s">
        <v>183</v>
      </c>
      <c r="D1" s="395">
        <f>J$7</f>
        <v>119.04761904761904</v>
      </c>
      <c r="E1" s="395">
        <f t="shared" ref="E1:F1" si="0">K$7</f>
        <v>58.589492544666641</v>
      </c>
      <c r="F1" s="395">
        <f t="shared" si="0"/>
        <v>208.05489856123918</v>
      </c>
    </row>
    <row r="2" spans="1:18" x14ac:dyDescent="0.2">
      <c r="D2" s="383"/>
      <c r="E2" s="383"/>
      <c r="F2" s="383"/>
    </row>
    <row r="3" spans="1:18" x14ac:dyDescent="0.2">
      <c r="A3" s="370" t="s">
        <v>175</v>
      </c>
      <c r="B3" s="370" t="s">
        <v>12</v>
      </c>
      <c r="C3" s="370" t="s">
        <v>11</v>
      </c>
      <c r="D3" s="371" t="s">
        <v>13</v>
      </c>
      <c r="E3" s="371" t="s">
        <v>88</v>
      </c>
      <c r="F3" s="371" t="s">
        <v>89</v>
      </c>
    </row>
    <row r="4" spans="1:18" x14ac:dyDescent="0.2">
      <c r="A4" s="373">
        <v>1</v>
      </c>
      <c r="B4" s="399">
        <v>63211</v>
      </c>
      <c r="C4" s="399">
        <v>1558824</v>
      </c>
      <c r="D4" s="374">
        <f>J$7</f>
        <v>119.04761904761904</v>
      </c>
      <c r="E4" s="374">
        <f t="shared" ref="E4" si="1">K$7</f>
        <v>58.589492544666641</v>
      </c>
      <c r="F4" s="374">
        <f t="shared" ref="F4" si="2">L$7</f>
        <v>208.05489856123918</v>
      </c>
      <c r="H4" s="375" t="s">
        <v>176</v>
      </c>
      <c r="I4" s="376">
        <v>26</v>
      </c>
    </row>
    <row r="5" spans="1:18" x14ac:dyDescent="0.2">
      <c r="A5" s="373">
        <v>2</v>
      </c>
      <c r="B5" s="399">
        <v>62560</v>
      </c>
      <c r="C5" s="399">
        <v>1665951</v>
      </c>
      <c r="D5" s="374">
        <f t="shared" ref="D5:D32" si="3">J$7</f>
        <v>119.04761904761904</v>
      </c>
      <c r="E5" s="374">
        <f t="shared" ref="E5:E32" si="4">K$7</f>
        <v>58.589492544666641</v>
      </c>
      <c r="F5" s="374">
        <f t="shared" ref="F5:F32" si="5">L$7</f>
        <v>208.05489856123918</v>
      </c>
      <c r="N5" s="372" t="s">
        <v>179</v>
      </c>
      <c r="O5" s="372" t="str">
        <f>Inferencias!P21</f>
        <v>por 1000</v>
      </c>
    </row>
    <row r="6" spans="1:18" x14ac:dyDescent="0.2">
      <c r="A6" s="373">
        <v>3</v>
      </c>
      <c r="B6" s="399">
        <v>64694</v>
      </c>
      <c r="C6" s="399">
        <v>1689390</v>
      </c>
      <c r="D6" s="374">
        <f t="shared" si="3"/>
        <v>119.04761904761904</v>
      </c>
      <c r="E6" s="374">
        <f t="shared" si="4"/>
        <v>58.589492544666641</v>
      </c>
      <c r="F6" s="374">
        <f t="shared" si="5"/>
        <v>208.05489856123918</v>
      </c>
      <c r="H6" s="390" t="s">
        <v>12</v>
      </c>
      <c r="I6" s="391" t="s">
        <v>11</v>
      </c>
      <c r="J6" s="377" t="str">
        <f>D3</f>
        <v>p</v>
      </c>
      <c r="K6" s="377" t="str">
        <f>E3</f>
        <v>IC(-)</v>
      </c>
      <c r="L6" s="377" t="str">
        <f>F3</f>
        <v>IC(+)</v>
      </c>
      <c r="O6" s="378" t="str">
        <f>J6</f>
        <v>p</v>
      </c>
      <c r="P6" s="378" t="str">
        <f t="shared" ref="P6:Q6" si="6">K6</f>
        <v>IC(-)</v>
      </c>
      <c r="Q6" s="378" t="str">
        <f t="shared" si="6"/>
        <v>IC(+)</v>
      </c>
      <c r="R6" s="378" t="s">
        <v>14</v>
      </c>
    </row>
    <row r="7" spans="1:18" x14ac:dyDescent="0.2">
      <c r="A7" s="373">
        <v>4</v>
      </c>
      <c r="B7" s="399">
        <v>69948</v>
      </c>
      <c r="C7" s="399">
        <v>1680233</v>
      </c>
      <c r="D7" s="374">
        <f t="shared" si="3"/>
        <v>119.04761904761904</v>
      </c>
      <c r="E7" s="374">
        <f t="shared" si="4"/>
        <v>58.589492544666641</v>
      </c>
      <c r="F7" s="374">
        <f t="shared" si="5"/>
        <v>208.05489856123918</v>
      </c>
      <c r="H7" s="392">
        <f>VLOOKUP($I$4,$A$4:$C$35,2,1)</f>
        <v>33888</v>
      </c>
      <c r="I7" s="393">
        <f>VLOOKUP($I$4,$A$4:$C$35,3,1)</f>
        <v>6777002</v>
      </c>
      <c r="J7" s="380">
        <f>O7</f>
        <v>119.04761904761904</v>
      </c>
      <c r="K7" s="380">
        <f>P7</f>
        <v>58.589492544666641</v>
      </c>
      <c r="L7" s="380">
        <f>Q7</f>
        <v>208.05489856123918</v>
      </c>
      <c r="N7" s="381" t="str">
        <f>Inferencias!D23</f>
        <v>Exacto</v>
      </c>
      <c r="O7" s="382">
        <f>Inferencias!O21</f>
        <v>119.04761904761904</v>
      </c>
      <c r="P7" s="382">
        <f>Inferencias!O23</f>
        <v>58.589492544666641</v>
      </c>
      <c r="Q7" s="382">
        <f>Inferencias!P23</f>
        <v>208.05489856123918</v>
      </c>
      <c r="R7" s="382">
        <f>Inferencias!Q23</f>
        <v>74.732703008286279</v>
      </c>
    </row>
    <row r="8" spans="1:18" x14ac:dyDescent="0.2">
      <c r="A8" s="373">
        <v>5</v>
      </c>
      <c r="B8" s="399">
        <v>68511</v>
      </c>
      <c r="C8" s="399">
        <v>1662410</v>
      </c>
      <c r="D8" s="374">
        <f t="shared" si="3"/>
        <v>119.04761904761904</v>
      </c>
      <c r="E8" s="374">
        <f t="shared" si="4"/>
        <v>58.589492544666641</v>
      </c>
      <c r="F8" s="374">
        <f t="shared" si="5"/>
        <v>208.05489856123918</v>
      </c>
      <c r="H8" s="396" t="s">
        <v>180</v>
      </c>
      <c r="I8" s="397"/>
      <c r="J8" s="395"/>
      <c r="K8" s="397"/>
      <c r="L8" s="397"/>
      <c r="N8" s="381" t="str">
        <f>Inferencias!D24</f>
        <v>Wilson</v>
      </c>
      <c r="O8" s="382">
        <f>O7</f>
        <v>119.04761904761904</v>
      </c>
      <c r="P8" s="382">
        <f>Inferencias!O24</f>
        <v>61.657480013023061</v>
      </c>
      <c r="Q8" s="382">
        <f>Inferencias!P24</f>
        <v>212.47751050533375</v>
      </c>
      <c r="R8" s="382">
        <f>Inferencias!Q24</f>
        <v>75.410015246155339</v>
      </c>
    </row>
    <row r="9" spans="1:18" x14ac:dyDescent="0.2">
      <c r="A9" s="373">
        <v>6</v>
      </c>
      <c r="B9" s="399">
        <v>66439</v>
      </c>
      <c r="C9" s="399">
        <v>1598641</v>
      </c>
      <c r="D9" s="374">
        <f t="shared" si="3"/>
        <v>119.04761904761904</v>
      </c>
      <c r="E9" s="374">
        <f t="shared" si="4"/>
        <v>58.589492544666641</v>
      </c>
      <c r="F9" s="374">
        <f t="shared" si="5"/>
        <v>208.05489856123918</v>
      </c>
      <c r="H9" s="397" t="s">
        <v>181</v>
      </c>
      <c r="I9" s="397"/>
      <c r="J9" s="397"/>
      <c r="K9" s="397"/>
      <c r="L9" s="397"/>
      <c r="N9" s="381" t="str">
        <f>Inferencias!D25</f>
        <v>Wald</v>
      </c>
      <c r="O9" s="382">
        <f t="shared" ref="O9:O10" si="7">O8</f>
        <v>119.04761904761904</v>
      </c>
      <c r="P9" s="382">
        <f>Inferencias!O25</f>
        <v>43.841212712045994</v>
      </c>
      <c r="Q9" s="382">
        <f>Inferencias!P25</f>
        <v>194.25402538319207</v>
      </c>
      <c r="R9" s="382">
        <f>Inferencias!Q25</f>
        <v>75.20640633557305</v>
      </c>
    </row>
    <row r="10" spans="1:18" x14ac:dyDescent="0.2">
      <c r="A10" s="373">
        <v>7</v>
      </c>
      <c r="B10" s="399">
        <v>59027</v>
      </c>
      <c r="C10" s="399">
        <v>1450110</v>
      </c>
      <c r="D10" s="374">
        <f t="shared" si="3"/>
        <v>119.04761904761904</v>
      </c>
      <c r="E10" s="374">
        <f t="shared" si="4"/>
        <v>58.589492544666641</v>
      </c>
      <c r="F10" s="374">
        <f t="shared" si="5"/>
        <v>208.05489856123918</v>
      </c>
      <c r="H10" s="397" t="s">
        <v>182</v>
      </c>
      <c r="I10" s="397"/>
      <c r="J10" s="397"/>
      <c r="K10" s="397"/>
      <c r="L10" s="397"/>
      <c r="N10" s="381" t="str">
        <f>Inferencias!D26</f>
        <v>Wald Ajustado</v>
      </c>
      <c r="O10" s="382">
        <f t="shared" si="7"/>
        <v>119.04761904761904</v>
      </c>
      <c r="P10" s="382">
        <f>Inferencias!O26</f>
        <v>64.663249000805322</v>
      </c>
      <c r="Q10" s="382">
        <f>Inferencias!P26</f>
        <v>208.06402372646738</v>
      </c>
      <c r="R10" s="382">
        <f>Inferencias!Q26</f>
        <v>71.700387362831037</v>
      </c>
    </row>
    <row r="11" spans="1:18" x14ac:dyDescent="0.2">
      <c r="A11" s="373">
        <v>8</v>
      </c>
      <c r="B11" s="399">
        <v>59119</v>
      </c>
      <c r="C11" s="399">
        <v>1350073</v>
      </c>
      <c r="D11" s="374">
        <f t="shared" si="3"/>
        <v>119.04761904761904</v>
      </c>
      <c r="E11" s="374">
        <f t="shared" si="4"/>
        <v>58.589492544666641</v>
      </c>
      <c r="F11" s="374">
        <f t="shared" si="5"/>
        <v>208.05489856123918</v>
      </c>
      <c r="N11" s="379" t="str">
        <f>Inferencias!D27</f>
        <v>Poisson</v>
      </c>
      <c r="O11" s="380">
        <f>O7</f>
        <v>119.04761904761904</v>
      </c>
      <c r="P11" s="380">
        <f>Inferencias!O27</f>
        <v>57.087960668243255</v>
      </c>
      <c r="Q11" s="380">
        <f>Inferencias!P27</f>
        <v>218.93281002402117</v>
      </c>
      <c r="R11" s="380">
        <f>Inferencias!Q27</f>
        <v>80.922424677888955</v>
      </c>
    </row>
    <row r="12" spans="1:18" x14ac:dyDescent="0.2">
      <c r="A12" s="373">
        <v>9</v>
      </c>
      <c r="B12" s="399">
        <v>58986</v>
      </c>
      <c r="C12" s="399">
        <v>1311955</v>
      </c>
      <c r="D12" s="374">
        <f t="shared" si="3"/>
        <v>119.04761904761904</v>
      </c>
      <c r="E12" s="374">
        <f t="shared" si="4"/>
        <v>58.589492544666641</v>
      </c>
      <c r="F12" s="374">
        <f t="shared" si="5"/>
        <v>208.05489856123918</v>
      </c>
      <c r="N12" s="372" t="s">
        <v>124</v>
      </c>
      <c r="O12" s="372" t="s">
        <v>124</v>
      </c>
      <c r="P12" s="384"/>
      <c r="Q12" s="384"/>
    </row>
    <row r="13" spans="1:18" x14ac:dyDescent="0.2">
      <c r="A13" s="373">
        <v>10</v>
      </c>
      <c r="B13" s="399">
        <v>59748</v>
      </c>
      <c r="C13" s="399">
        <v>1293696</v>
      </c>
      <c r="D13" s="374">
        <f t="shared" si="3"/>
        <v>119.04761904761904</v>
      </c>
      <c r="E13" s="374">
        <f t="shared" si="4"/>
        <v>58.589492544666641</v>
      </c>
      <c r="F13" s="374">
        <f t="shared" si="5"/>
        <v>208.05489856123918</v>
      </c>
    </row>
    <row r="14" spans="1:18" x14ac:dyDescent="0.2">
      <c r="A14" s="373">
        <v>11</v>
      </c>
      <c r="B14" s="399">
        <v>59209</v>
      </c>
      <c r="C14" s="399">
        <v>1818325</v>
      </c>
      <c r="D14" s="374">
        <f t="shared" si="3"/>
        <v>119.04761904761904</v>
      </c>
      <c r="E14" s="374">
        <f t="shared" si="4"/>
        <v>58.589492544666641</v>
      </c>
      <c r="F14" s="374">
        <f t="shared" si="5"/>
        <v>208.05489856123918</v>
      </c>
    </row>
    <row r="15" spans="1:18" x14ac:dyDescent="0.2">
      <c r="A15" s="373">
        <v>12</v>
      </c>
      <c r="B15" s="399"/>
      <c r="C15" s="399"/>
      <c r="D15" s="374">
        <f t="shared" si="3"/>
        <v>119.04761904761904</v>
      </c>
      <c r="E15" s="374">
        <f t="shared" si="4"/>
        <v>58.589492544666641</v>
      </c>
      <c r="F15" s="374">
        <f t="shared" si="5"/>
        <v>208.05489856123918</v>
      </c>
    </row>
    <row r="16" spans="1:18" x14ac:dyDescent="0.2">
      <c r="A16" s="373">
        <v>13</v>
      </c>
      <c r="B16" s="399"/>
      <c r="C16" s="399"/>
      <c r="D16" s="374">
        <f t="shared" si="3"/>
        <v>119.04761904761904</v>
      </c>
      <c r="E16" s="374">
        <f t="shared" si="4"/>
        <v>58.589492544666641</v>
      </c>
      <c r="F16" s="374">
        <f t="shared" si="5"/>
        <v>208.05489856123918</v>
      </c>
    </row>
    <row r="17" spans="1:6" x14ac:dyDescent="0.2">
      <c r="A17" s="373">
        <v>14</v>
      </c>
      <c r="B17" s="399"/>
      <c r="C17" s="399"/>
      <c r="D17" s="374">
        <f t="shared" si="3"/>
        <v>119.04761904761904</v>
      </c>
      <c r="E17" s="374">
        <f t="shared" si="4"/>
        <v>58.589492544666641</v>
      </c>
      <c r="F17" s="374">
        <f t="shared" si="5"/>
        <v>208.05489856123918</v>
      </c>
    </row>
    <row r="18" spans="1:6" x14ac:dyDescent="0.2">
      <c r="A18" s="389">
        <v>15</v>
      </c>
      <c r="B18" s="400"/>
      <c r="C18" s="400"/>
      <c r="D18" s="398"/>
      <c r="E18" s="398"/>
      <c r="F18" s="398"/>
    </row>
    <row r="19" spans="1:6" x14ac:dyDescent="0.2">
      <c r="A19" s="373">
        <v>16</v>
      </c>
      <c r="B19" s="410">
        <v>20569</v>
      </c>
      <c r="C19" s="399">
        <v>8479695</v>
      </c>
      <c r="D19" s="374">
        <f t="shared" si="3"/>
        <v>119.04761904761904</v>
      </c>
      <c r="E19" s="374">
        <f t="shared" si="4"/>
        <v>58.589492544666641</v>
      </c>
      <c r="F19" s="374">
        <f t="shared" si="5"/>
        <v>208.05489856123918</v>
      </c>
    </row>
    <row r="20" spans="1:6" x14ac:dyDescent="0.2">
      <c r="A20" s="373">
        <v>17</v>
      </c>
      <c r="B20" s="410">
        <v>46791</v>
      </c>
      <c r="C20" s="399">
        <v>8392144</v>
      </c>
      <c r="D20" s="374">
        <f t="shared" si="3"/>
        <v>119.04761904761904</v>
      </c>
      <c r="E20" s="374">
        <f t="shared" si="4"/>
        <v>58.589492544666641</v>
      </c>
      <c r="F20" s="374">
        <f t="shared" si="5"/>
        <v>208.05489856123918</v>
      </c>
    </row>
    <row r="21" spans="1:6" x14ac:dyDescent="0.2">
      <c r="A21" s="373">
        <v>18</v>
      </c>
      <c r="B21" s="410">
        <v>46269</v>
      </c>
      <c r="C21" s="399">
        <v>8269461</v>
      </c>
      <c r="D21" s="374">
        <f t="shared" si="3"/>
        <v>119.04761904761904</v>
      </c>
      <c r="E21" s="374">
        <f t="shared" si="4"/>
        <v>58.589492544666641</v>
      </c>
      <c r="F21" s="374">
        <f t="shared" si="5"/>
        <v>208.05489856123918</v>
      </c>
    </row>
    <row r="22" spans="1:6" x14ac:dyDescent="0.2">
      <c r="A22" s="373">
        <v>19</v>
      </c>
      <c r="B22" s="410">
        <v>46702</v>
      </c>
      <c r="C22" s="399">
        <v>8156920</v>
      </c>
      <c r="D22" s="374">
        <f t="shared" si="3"/>
        <v>119.04761904761904</v>
      </c>
      <c r="E22" s="374">
        <f t="shared" si="4"/>
        <v>58.589492544666641</v>
      </c>
      <c r="F22" s="374">
        <f t="shared" si="5"/>
        <v>208.05489856123918</v>
      </c>
    </row>
    <row r="23" spans="1:6" x14ac:dyDescent="0.2">
      <c r="A23" s="373">
        <v>20</v>
      </c>
      <c r="B23" s="410">
        <v>42867</v>
      </c>
      <c r="C23" s="399">
        <v>8028606</v>
      </c>
      <c r="D23" s="374">
        <f t="shared" si="3"/>
        <v>119.04761904761904</v>
      </c>
      <c r="E23" s="374">
        <f t="shared" si="4"/>
        <v>58.589492544666641</v>
      </c>
      <c r="F23" s="374">
        <f t="shared" si="5"/>
        <v>208.05489856123918</v>
      </c>
    </row>
    <row r="24" spans="1:6" x14ac:dyDescent="0.2">
      <c r="A24" s="373">
        <v>21</v>
      </c>
      <c r="B24" s="410">
        <v>40317</v>
      </c>
      <c r="C24" s="399">
        <v>7892915</v>
      </c>
      <c r="D24" s="374">
        <f t="shared" si="3"/>
        <v>119.04761904761904</v>
      </c>
      <c r="E24" s="374">
        <f t="shared" si="4"/>
        <v>58.589492544666641</v>
      </c>
      <c r="F24" s="374">
        <f t="shared" si="5"/>
        <v>208.05489856123918</v>
      </c>
    </row>
    <row r="25" spans="1:6" x14ac:dyDescent="0.2">
      <c r="A25" s="373">
        <v>22</v>
      </c>
      <c r="B25" s="410">
        <v>34252</v>
      </c>
      <c r="C25" s="399">
        <v>7804571</v>
      </c>
      <c r="D25" s="374">
        <f t="shared" si="3"/>
        <v>119.04761904761904</v>
      </c>
      <c r="E25" s="374">
        <f t="shared" si="4"/>
        <v>58.589492544666641</v>
      </c>
      <c r="F25" s="374">
        <f t="shared" si="5"/>
        <v>208.05489856123918</v>
      </c>
    </row>
    <row r="26" spans="1:6" x14ac:dyDescent="0.2">
      <c r="A26" s="373">
        <v>23</v>
      </c>
      <c r="B26" s="410">
        <v>33446</v>
      </c>
      <c r="C26" s="399">
        <v>7714404</v>
      </c>
      <c r="D26" s="374">
        <f t="shared" si="3"/>
        <v>119.04761904761904</v>
      </c>
      <c r="E26" s="374">
        <f t="shared" si="4"/>
        <v>58.589492544666641</v>
      </c>
      <c r="F26" s="374">
        <f t="shared" si="5"/>
        <v>208.05489856123918</v>
      </c>
    </row>
    <row r="27" spans="1:6" x14ac:dyDescent="0.2">
      <c r="A27" s="373">
        <v>24</v>
      </c>
      <c r="B27" s="410">
        <v>32439</v>
      </c>
      <c r="C27" s="399">
        <v>7598773</v>
      </c>
      <c r="D27" s="374">
        <f t="shared" si="3"/>
        <v>119.04761904761904</v>
      </c>
      <c r="E27" s="374">
        <f t="shared" si="4"/>
        <v>58.589492544666641</v>
      </c>
      <c r="F27" s="374">
        <f t="shared" si="5"/>
        <v>208.05489856123918</v>
      </c>
    </row>
    <row r="28" spans="1:6" x14ac:dyDescent="0.2">
      <c r="A28" s="373">
        <v>25</v>
      </c>
      <c r="B28" s="410">
        <v>32738</v>
      </c>
      <c r="C28" s="399">
        <v>7489590</v>
      </c>
      <c r="D28" s="374">
        <f t="shared" si="3"/>
        <v>119.04761904761904</v>
      </c>
      <c r="E28" s="374">
        <f t="shared" si="4"/>
        <v>58.589492544666641</v>
      </c>
      <c r="F28" s="374">
        <f t="shared" si="5"/>
        <v>208.05489856123918</v>
      </c>
    </row>
    <row r="29" spans="1:6" x14ac:dyDescent="0.2">
      <c r="A29" s="373">
        <v>26</v>
      </c>
      <c r="B29" s="410">
        <v>33888</v>
      </c>
      <c r="C29" s="399">
        <v>6777002</v>
      </c>
      <c r="D29" s="374">
        <f t="shared" si="3"/>
        <v>119.04761904761904</v>
      </c>
      <c r="E29" s="374">
        <f t="shared" si="4"/>
        <v>58.589492544666641</v>
      </c>
      <c r="F29" s="374">
        <f t="shared" si="5"/>
        <v>208.05489856123918</v>
      </c>
    </row>
    <row r="30" spans="1:6" x14ac:dyDescent="0.2">
      <c r="A30" s="373">
        <v>27</v>
      </c>
      <c r="B30" s="399"/>
      <c r="C30" s="399"/>
      <c r="D30" s="374">
        <f t="shared" si="3"/>
        <v>119.04761904761904</v>
      </c>
      <c r="E30" s="374">
        <f t="shared" si="4"/>
        <v>58.589492544666641</v>
      </c>
      <c r="F30" s="374">
        <f t="shared" si="5"/>
        <v>208.05489856123918</v>
      </c>
    </row>
    <row r="31" spans="1:6" x14ac:dyDescent="0.2">
      <c r="A31" s="373">
        <v>28</v>
      </c>
      <c r="B31" s="399"/>
      <c r="C31" s="399"/>
      <c r="D31" s="374">
        <f t="shared" si="3"/>
        <v>119.04761904761904</v>
      </c>
      <c r="E31" s="374">
        <f t="shared" si="4"/>
        <v>58.589492544666641</v>
      </c>
      <c r="F31" s="374">
        <f t="shared" si="5"/>
        <v>208.05489856123918</v>
      </c>
    </row>
    <row r="32" spans="1:6" x14ac:dyDescent="0.2">
      <c r="A32" s="373">
        <v>29</v>
      </c>
      <c r="B32" s="399"/>
      <c r="C32" s="399"/>
      <c r="D32" s="374">
        <f t="shared" si="3"/>
        <v>119.04761904761904</v>
      </c>
      <c r="E32" s="374">
        <f t="shared" si="4"/>
        <v>58.589492544666641</v>
      </c>
      <c r="F32" s="374">
        <f t="shared" si="5"/>
        <v>208.05489856123918</v>
      </c>
    </row>
    <row r="33" spans="1:6" x14ac:dyDescent="0.2">
      <c r="A33" s="373">
        <v>30</v>
      </c>
      <c r="B33" s="399"/>
      <c r="C33" s="399"/>
      <c r="D33" s="374"/>
      <c r="E33" s="374"/>
      <c r="F33" s="374"/>
    </row>
    <row r="34" spans="1:6" x14ac:dyDescent="0.2">
      <c r="A34" s="373">
        <v>31</v>
      </c>
      <c r="B34" s="399"/>
      <c r="C34" s="399"/>
      <c r="D34" s="374"/>
      <c r="E34" s="374"/>
      <c r="F34" s="374"/>
    </row>
    <row r="35" spans="1:6" x14ac:dyDescent="0.2">
      <c r="A35" s="373">
        <v>32</v>
      </c>
      <c r="B35" s="399"/>
      <c r="C35" s="399"/>
      <c r="D35" s="374"/>
      <c r="E35" s="374"/>
      <c r="F35" s="374"/>
    </row>
  </sheetData>
  <sheetProtection sheet="1" objects="1" scenarios="1" formatCells="0" formatColumns="0"/>
  <conditionalFormatting sqref="A34:F35 A4:C33">
    <cfRule type="expression" dxfId="1" priority="2">
      <formula>$A4=$I$4</formula>
    </cfRule>
  </conditionalFormatting>
  <conditionalFormatting sqref="D4:F33">
    <cfRule type="expression" dxfId="0" priority="1">
      <formula>$A4=$I$4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Presentación</vt:lpstr>
      <vt:lpstr>Inferencias</vt:lpstr>
      <vt:lpstr>CC</vt:lpstr>
      <vt:lpstr>MH0l</vt:lpstr>
      <vt:lpstr>Tabla ejercicios</vt:lpstr>
      <vt:lpstr>Banco de enunciados</vt:lpstr>
      <vt:lpstr>Lotes</vt:lpstr>
      <vt:lpstr>n</vt:lpstr>
      <vt:lpstr>p</vt:lpstr>
      <vt:lpstr>po</vt:lpstr>
      <vt:lpstr>q</vt:lpstr>
      <vt:lpstr>t</vt:lpstr>
      <vt:lpstr>x</vt:lpstr>
    </vt:vector>
  </TitlesOfParts>
  <Company>Porto Alegre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</dc:creator>
  <cp:lastModifiedBy>Usuario</cp:lastModifiedBy>
  <dcterms:created xsi:type="dcterms:W3CDTF">2011-11-15T18:21:00Z</dcterms:created>
  <dcterms:modified xsi:type="dcterms:W3CDTF">2024-04-30T16:19:33Z</dcterms:modified>
</cp:coreProperties>
</file>