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b\T-Programación\Excel\Calculo Estadístico\Digibug\"/>
    </mc:Choice>
  </mc:AlternateContent>
  <workbookProtection workbookAlgorithmName="SHA-512" workbookHashValue="tPFuXzjnuZQBXo6Knuuvuxhlim6cgrxJyYObizwuB3dkjpopSYrQUL/YbPplEKw6YXKA6Ngug7CBQ4vNKuATKw==" workbookSaltValue="3yGRNXQwTgU+q6Rjqu9bGg==" workbookSpinCount="100000" lockStructure="1"/>
  <bookViews>
    <workbookView xWindow="28680" yWindow="0" windowWidth="17175" windowHeight="14325"/>
  </bookViews>
  <sheets>
    <sheet name="INICIO" sheetId="2" r:id="rId1"/>
    <sheet name="Test X2" sheetId="4" r:id="rId2"/>
    <sheet name="Prevalencia" sheetId="9" r:id="rId3"/>
    <sheet name="Test McNemar" sheetId="13" r:id="rId4"/>
    <sheet name="Acuerdo nominal (2x2)" sheetId="15" r:id="rId5"/>
    <sheet name="Test aproximados" sheetId="7" r:id="rId6"/>
    <sheet name="MH01 (2)" sheetId="14" state="hidden" r:id="rId7"/>
    <sheet name="CC" sheetId="12" r:id="rId8"/>
    <sheet name="!" sheetId="16" state="hidden" r:id="rId9"/>
    <sheet name="Report" sheetId="8" state="hidden" r:id="rId10"/>
    <sheet name="Fisher" sheetId="6" state="hidden" r:id="rId11"/>
    <sheet name="MH01" sheetId="1" state="hidden" r:id="rId12"/>
    <sheet name="MH02" sheetId="10" state="hidden" r:id="rId13"/>
  </sheets>
  <externalReferences>
    <externalReference r:id="rId14"/>
    <externalReference r:id="rId15"/>
    <externalReference r:id="rId16"/>
  </externalReferences>
  <definedNames>
    <definedName name="a_0">[1]Interpolación!$P$32</definedName>
    <definedName name="a_00">[1]Interpolación!$M$49</definedName>
    <definedName name="a_01">[1]Interpolación!$M$50</definedName>
    <definedName name="a_1">[1]Interpolación!$P$33</definedName>
    <definedName name="a_2">[1]Interpolación!$P$34</definedName>
    <definedName name="a00">[1]Interpolación!$M$49</definedName>
    <definedName name="_xlnm.Print_Area" localSheetId="8">'!'!$C$1:$K$48</definedName>
    <definedName name="_xlnm.Print_Area" localSheetId="11">'MH01'!$C$22:$R$103</definedName>
    <definedName name="b_0">[1]Interpolación!$P$15</definedName>
    <definedName name="B_1">[1]Interpolación!$P$16</definedName>
    <definedName name="B_2">[1]Interpolación!$P$17</definedName>
    <definedName name="B_3">[1]Interpolación!$P$18</definedName>
    <definedName name="C_1" localSheetId="0">#REF!</definedName>
    <definedName name="C_1">#REF!</definedName>
    <definedName name="C_2" localSheetId="0">#REF!</definedName>
    <definedName name="C_2">#REF!</definedName>
    <definedName name="DC_1">#REF!</definedName>
    <definedName name="DC_2">#REF!</definedName>
    <definedName name="decs">[2]Modelo!$C$20</definedName>
    <definedName name="DF_1">#REF!</definedName>
    <definedName name="DF_2">#REF!</definedName>
    <definedName name="DO_11">#REF!</definedName>
    <definedName name="DO_12">#REF!</definedName>
    <definedName name="DO_21">#REF!</definedName>
    <definedName name="DO_22">#REF!</definedName>
    <definedName name="DTOTAL">#REF!</definedName>
    <definedName name="F_1" localSheetId="0">#REF!</definedName>
    <definedName name="F_1">#REF!</definedName>
    <definedName name="F_2" localSheetId="0">#REF!</definedName>
    <definedName name="F_2">#REF!</definedName>
    <definedName name="h">[1]Interpolación!$U$17</definedName>
    <definedName name="hlp">[1]Interpolación!$E$5</definedName>
    <definedName name="hp">[1]Simulación!$F$4</definedName>
    <definedName name="k">[1]Interpolación!$U$16</definedName>
    <definedName name="l_0">[1]Interpolación!$N$32</definedName>
    <definedName name="l_1">[1]Interpolación!$N$33</definedName>
    <definedName name="l_2">[1]Interpolación!$N$34</definedName>
    <definedName name="M_0">[1]Interpolación!$N$15</definedName>
    <definedName name="M_1">[1]Interpolación!$N$16</definedName>
    <definedName name="M_2">[1]Interpolación!$N$17</definedName>
    <definedName name="M_3">[1]Interpolación!$N$18</definedName>
    <definedName name="mm">[2]Modelo!$E$20</definedName>
    <definedName name="n">'MH02'!$E$8</definedName>
    <definedName name="O_11" localSheetId="0">#REF!</definedName>
    <definedName name="O_11">#REF!</definedName>
    <definedName name="O_12" localSheetId="0">#REF!</definedName>
    <definedName name="O_12">#REF!</definedName>
    <definedName name="O_21" localSheetId="0">#REF!</definedName>
    <definedName name="O_21">#REF!</definedName>
    <definedName name="O_22" localSheetId="0">#REF!</definedName>
    <definedName name="O_22">#REF!</definedName>
    <definedName name="p">'MH02'!$E$18</definedName>
    <definedName name="po">'MH02'!$E$50</definedName>
    <definedName name="q">'MH02'!$E$19</definedName>
    <definedName name="t">'MH02'!$E$13</definedName>
    <definedName name="t_0">[1]Interpolación!$G$15</definedName>
    <definedName name="t_1">[1]Interpolación!$G$16</definedName>
    <definedName name="t_2">[1]Interpolación!$G$17</definedName>
    <definedName name="t_3">[1]Interpolación!$G$18</definedName>
    <definedName name="Total" localSheetId="0">#REF!</definedName>
    <definedName name="Total">#REF!</definedName>
    <definedName name="vm">[1]Interpolación!$U$15</definedName>
    <definedName name="x" localSheetId="7">[1]Interpolación!$F$35</definedName>
    <definedName name="x">'MH02'!$E$9</definedName>
    <definedName name="x_0">[1]Interpolación!$F$32</definedName>
    <definedName name="x_1">[1]Interpolación!$F$33</definedName>
    <definedName name="x_2">[1]Interpolación!$F$34</definedName>
    <definedName name="y_0">[1]Interpolación!$G$32</definedName>
    <definedName name="y_1">[1]Interpolación!$G$33</definedName>
    <definedName name="y_2">[1]Interpolación!$G$34</definedName>
    <definedName name="z">[1]Interpolación!$F$19</definedName>
    <definedName name="z_0">[1]Interpolación!$F$15</definedName>
    <definedName name="z_1">[1]Interpolación!$F$16</definedName>
    <definedName name="z_2">[1]Interpolación!$F$17</definedName>
    <definedName name="z_3">[1]Interpolación!$F$18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0" l="1"/>
  <c r="E12" i="10"/>
  <c r="B1" i="15" l="1"/>
  <c r="N1" i="15"/>
  <c r="M1" i="15"/>
  <c r="E45" i="16"/>
  <c r="E44" i="15" s="1"/>
  <c r="AG44" i="16"/>
  <c r="AH44" i="16" s="1"/>
  <c r="K44" i="16" s="1"/>
  <c r="K43" i="15" s="1"/>
  <c r="AG43" i="16"/>
  <c r="AH41" i="16"/>
  <c r="K41" i="16"/>
  <c r="K40" i="15" s="1"/>
  <c r="AG34" i="16"/>
  <c r="E34" i="16"/>
  <c r="AG31" i="16"/>
  <c r="AG29" i="16"/>
  <c r="I19" i="16"/>
  <c r="I17" i="15" s="1"/>
  <c r="G19" i="16"/>
  <c r="E19" i="16" s="1"/>
  <c r="K18" i="16"/>
  <c r="I18" i="16"/>
  <c r="J18" i="16" s="1"/>
  <c r="G18" i="16"/>
  <c r="E18" i="16"/>
  <c r="AG35" i="16" s="1"/>
  <c r="G17" i="16"/>
  <c r="E17" i="16" s="1"/>
  <c r="AD11" i="16"/>
  <c r="F11" i="16"/>
  <c r="F12" i="16" s="1"/>
  <c r="E11" i="16"/>
  <c r="E12" i="16" s="1"/>
  <c r="AD10" i="16"/>
  <c r="F10" i="16"/>
  <c r="E10" i="16"/>
  <c r="Q7" i="16" s="1"/>
  <c r="AF9" i="16"/>
  <c r="K22" i="15" s="1"/>
  <c r="AE9" i="16"/>
  <c r="J22" i="15" s="1"/>
  <c r="R8" i="16"/>
  <c r="Q8" i="16"/>
  <c r="L53" i="15"/>
  <c r="K53" i="15"/>
  <c r="J53" i="15"/>
  <c r="I53" i="15"/>
  <c r="H53" i="15"/>
  <c r="G53" i="15"/>
  <c r="F53" i="15"/>
  <c r="E53" i="15"/>
  <c r="D53" i="15"/>
  <c r="C53" i="15"/>
  <c r="B53" i="15"/>
  <c r="A53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J51" i="15"/>
  <c r="I51" i="15"/>
  <c r="H51" i="15"/>
  <c r="G51" i="15"/>
  <c r="F51" i="15"/>
  <c r="E51" i="15"/>
  <c r="D51" i="15"/>
  <c r="C51" i="15"/>
  <c r="B51" i="15"/>
  <c r="A51" i="15"/>
  <c r="J50" i="15"/>
  <c r="I50" i="15"/>
  <c r="H50" i="15"/>
  <c r="G50" i="15"/>
  <c r="F50" i="15"/>
  <c r="E50" i="15"/>
  <c r="D50" i="15"/>
  <c r="C50" i="15"/>
  <c r="B50" i="15"/>
  <c r="A50" i="15"/>
  <c r="J49" i="15"/>
  <c r="I49" i="15"/>
  <c r="H49" i="15"/>
  <c r="G49" i="15"/>
  <c r="F49" i="15"/>
  <c r="E49" i="15"/>
  <c r="D49" i="15"/>
  <c r="C49" i="15"/>
  <c r="B49" i="15"/>
  <c r="A49" i="15"/>
  <c r="J48" i="15"/>
  <c r="I48" i="15"/>
  <c r="H48" i="15"/>
  <c r="G48" i="15"/>
  <c r="F48" i="15"/>
  <c r="E48" i="15"/>
  <c r="D48" i="15"/>
  <c r="C48" i="15"/>
  <c r="B48" i="15"/>
  <c r="A48" i="15"/>
  <c r="J47" i="15"/>
  <c r="I47" i="15"/>
  <c r="B47" i="15"/>
  <c r="A47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G45" i="15"/>
  <c r="F45" i="15"/>
  <c r="E45" i="15"/>
  <c r="C45" i="15"/>
  <c r="B45" i="15"/>
  <c r="A45" i="15"/>
  <c r="G44" i="15"/>
  <c r="F44" i="15"/>
  <c r="C44" i="15"/>
  <c r="B44" i="15"/>
  <c r="A44" i="15"/>
  <c r="J43" i="15"/>
  <c r="I43" i="15"/>
  <c r="H43" i="15"/>
  <c r="G43" i="15"/>
  <c r="F43" i="15"/>
  <c r="E43" i="15"/>
  <c r="C43" i="15"/>
  <c r="B43" i="15"/>
  <c r="A43" i="15"/>
  <c r="G42" i="15"/>
  <c r="F42" i="15"/>
  <c r="E42" i="15"/>
  <c r="C42" i="15"/>
  <c r="B42" i="15"/>
  <c r="A42" i="15"/>
  <c r="G41" i="15"/>
  <c r="F41" i="15"/>
  <c r="E41" i="15"/>
  <c r="C41" i="15"/>
  <c r="B41" i="15"/>
  <c r="A41" i="15"/>
  <c r="J40" i="15"/>
  <c r="I40" i="15"/>
  <c r="H40" i="15"/>
  <c r="G40" i="15"/>
  <c r="F40" i="15"/>
  <c r="E40" i="15"/>
  <c r="C40" i="15"/>
  <c r="B40" i="15"/>
  <c r="A40" i="15"/>
  <c r="G39" i="15"/>
  <c r="F39" i="15"/>
  <c r="E39" i="15"/>
  <c r="C39" i="15"/>
  <c r="B39" i="15"/>
  <c r="A39" i="15"/>
  <c r="G38" i="15"/>
  <c r="F38" i="15"/>
  <c r="E38" i="15"/>
  <c r="C38" i="15"/>
  <c r="B38" i="15"/>
  <c r="A38" i="15"/>
  <c r="G37" i="15"/>
  <c r="F37" i="15"/>
  <c r="E37" i="15"/>
  <c r="C37" i="15"/>
  <c r="B37" i="15"/>
  <c r="A37" i="15"/>
  <c r="G36" i="15"/>
  <c r="F36" i="15"/>
  <c r="E36" i="15"/>
  <c r="C36" i="15"/>
  <c r="B36" i="15"/>
  <c r="A36" i="15"/>
  <c r="J35" i="15"/>
  <c r="I35" i="15"/>
  <c r="H35" i="15"/>
  <c r="G35" i="15"/>
  <c r="F35" i="15"/>
  <c r="E35" i="15"/>
  <c r="C35" i="15"/>
  <c r="B35" i="15"/>
  <c r="A35" i="15"/>
  <c r="G34" i="15"/>
  <c r="F34" i="15"/>
  <c r="E34" i="15"/>
  <c r="C34" i="15"/>
  <c r="B34" i="15"/>
  <c r="A34" i="15"/>
  <c r="G33" i="15"/>
  <c r="F33" i="15"/>
  <c r="E33" i="15"/>
  <c r="C33" i="15"/>
  <c r="B33" i="15"/>
  <c r="A33" i="15"/>
  <c r="J32" i="15"/>
  <c r="I32" i="15"/>
  <c r="H32" i="15"/>
  <c r="G32" i="15"/>
  <c r="F32" i="15"/>
  <c r="E32" i="15"/>
  <c r="C32" i="15"/>
  <c r="B32" i="15"/>
  <c r="A32" i="15"/>
  <c r="G31" i="15"/>
  <c r="F31" i="15"/>
  <c r="E31" i="15"/>
  <c r="C31" i="15"/>
  <c r="B31" i="15"/>
  <c r="A31" i="15"/>
  <c r="G30" i="15"/>
  <c r="F30" i="15"/>
  <c r="E30" i="15"/>
  <c r="C30" i="15"/>
  <c r="B30" i="15"/>
  <c r="A30" i="15"/>
  <c r="G29" i="15"/>
  <c r="F29" i="15"/>
  <c r="E29" i="15"/>
  <c r="C29" i="15"/>
  <c r="B29" i="15"/>
  <c r="A29" i="15"/>
  <c r="G28" i="15"/>
  <c r="F28" i="15"/>
  <c r="E28" i="15"/>
  <c r="C28" i="15"/>
  <c r="B28" i="15"/>
  <c r="A28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L26" i="15"/>
  <c r="K26" i="15"/>
  <c r="J26" i="15"/>
  <c r="I26" i="15"/>
  <c r="H26" i="15"/>
  <c r="G26" i="15"/>
  <c r="F26" i="15"/>
  <c r="E26" i="15"/>
  <c r="A26" i="15"/>
  <c r="I25" i="15"/>
  <c r="I24" i="15"/>
  <c r="I23" i="15"/>
  <c r="L22" i="15"/>
  <c r="H22" i="15"/>
  <c r="I20" i="15"/>
  <c r="L19" i="15"/>
  <c r="I19" i="15"/>
  <c r="H19" i="15"/>
  <c r="G19" i="15"/>
  <c r="F19" i="15"/>
  <c r="E19" i="15"/>
  <c r="D19" i="15"/>
  <c r="C19" i="15"/>
  <c r="B19" i="15"/>
  <c r="A19" i="15"/>
  <c r="I18" i="15"/>
  <c r="G18" i="15"/>
  <c r="F18" i="15"/>
  <c r="E18" i="15"/>
  <c r="D18" i="15"/>
  <c r="C18" i="15"/>
  <c r="B18" i="15"/>
  <c r="A18" i="15"/>
  <c r="L17" i="15"/>
  <c r="D17" i="15"/>
  <c r="C17" i="15"/>
  <c r="B17" i="15"/>
  <c r="A17" i="15"/>
  <c r="L16" i="15"/>
  <c r="D16" i="15"/>
  <c r="C16" i="15"/>
  <c r="B16" i="15"/>
  <c r="A16" i="15"/>
  <c r="L15" i="15"/>
  <c r="I15" i="15"/>
  <c r="D15" i="15"/>
  <c r="C15" i="15"/>
  <c r="B15" i="15"/>
  <c r="A15" i="15"/>
  <c r="L14" i="15"/>
  <c r="K14" i="15"/>
  <c r="J14" i="15"/>
  <c r="I14" i="15"/>
  <c r="H14" i="15"/>
  <c r="F14" i="15"/>
  <c r="E14" i="15"/>
  <c r="D14" i="15"/>
  <c r="B14" i="15"/>
  <c r="A14" i="15"/>
  <c r="L13" i="15"/>
  <c r="C13" i="15"/>
  <c r="B13" i="15"/>
  <c r="A13" i="15"/>
  <c r="C12" i="15"/>
  <c r="B12" i="15"/>
  <c r="A12" i="15"/>
  <c r="L11" i="15"/>
  <c r="H11" i="15"/>
  <c r="D11" i="15"/>
  <c r="C11" i="15"/>
  <c r="B11" i="15"/>
  <c r="A11" i="15"/>
  <c r="H10" i="15"/>
  <c r="D10" i="15"/>
  <c r="C10" i="15"/>
  <c r="B10" i="15"/>
  <c r="A10" i="15"/>
  <c r="H9" i="15"/>
  <c r="D9" i="15"/>
  <c r="C9" i="15"/>
  <c r="B9" i="15"/>
  <c r="A9" i="15"/>
  <c r="H8" i="15"/>
  <c r="D8" i="15"/>
  <c r="C8" i="15"/>
  <c r="B8" i="15"/>
  <c r="A8" i="15"/>
  <c r="G7" i="15"/>
  <c r="F7" i="15"/>
  <c r="E7" i="15"/>
  <c r="D7" i="15"/>
  <c r="C7" i="15"/>
  <c r="B7" i="15"/>
  <c r="A7" i="15"/>
  <c r="L6" i="15"/>
  <c r="K6" i="15"/>
  <c r="J6" i="15"/>
  <c r="I6" i="15"/>
  <c r="H6" i="15"/>
  <c r="G6" i="15"/>
  <c r="F6" i="15"/>
  <c r="E6" i="15"/>
  <c r="D6" i="15"/>
  <c r="C6" i="15"/>
  <c r="B6" i="15"/>
  <c r="A6" i="15"/>
  <c r="L5" i="15"/>
  <c r="D5" i="15"/>
  <c r="C5" i="15"/>
  <c r="B5" i="15"/>
  <c r="A5" i="15"/>
  <c r="L4" i="15"/>
  <c r="K4" i="15"/>
  <c r="J4" i="15"/>
  <c r="I4" i="15"/>
  <c r="H4" i="15"/>
  <c r="G4" i="15"/>
  <c r="F4" i="15"/>
  <c r="E4" i="15"/>
  <c r="B4" i="15"/>
  <c r="A4" i="15"/>
  <c r="AF43" i="16" l="1"/>
  <c r="AF37" i="16"/>
  <c r="AF40" i="16"/>
  <c r="AF10" i="16"/>
  <c r="AE11" i="16"/>
  <c r="AF11" i="16"/>
  <c r="U7" i="16"/>
  <c r="F10" i="15"/>
  <c r="R9" i="16"/>
  <c r="Q9" i="16"/>
  <c r="E10" i="15"/>
  <c r="AE43" i="16"/>
  <c r="AH43" i="16"/>
  <c r="K43" i="16" s="1"/>
  <c r="K42" i="15" s="1"/>
  <c r="AF29" i="16"/>
  <c r="F18" i="16"/>
  <c r="G11" i="16"/>
  <c r="AF35" i="16"/>
  <c r="AF42" i="16"/>
  <c r="AF45" i="16"/>
  <c r="V8" i="16"/>
  <c r="AF32" i="16"/>
  <c r="AH36" i="16"/>
  <c r="K36" i="16" s="1"/>
  <c r="K35" i="15" s="1"/>
  <c r="AF39" i="16"/>
  <c r="AF31" i="16"/>
  <c r="U8" i="16"/>
  <c r="AF38" i="16"/>
  <c r="E15" i="16"/>
  <c r="AG32" i="16"/>
  <c r="AF30" i="16"/>
  <c r="AH33" i="16"/>
  <c r="K33" i="16" s="1"/>
  <c r="K32" i="15" s="1"/>
  <c r="AF34" i="16"/>
  <c r="AG42" i="16"/>
  <c r="R7" i="16"/>
  <c r="AG30" i="16"/>
  <c r="AE10" i="16"/>
  <c r="AF46" i="16"/>
  <c r="G10" i="16"/>
  <c r="G13" i="16" s="1"/>
  <c r="F17" i="16"/>
  <c r="AH40" i="16" l="1"/>
  <c r="K40" i="16" s="1"/>
  <c r="K39" i="15" s="1"/>
  <c r="AE40" i="16"/>
  <c r="AH37" i="16"/>
  <c r="K37" i="16" s="1"/>
  <c r="K36" i="15" s="1"/>
  <c r="AE37" i="16"/>
  <c r="G11" i="15"/>
  <c r="E13" i="16"/>
  <c r="E11" i="15" s="1"/>
  <c r="F19" i="16"/>
  <c r="AE29" i="16"/>
  <c r="AH29" i="16"/>
  <c r="K29" i="16" s="1"/>
  <c r="K28" i="15" s="1"/>
  <c r="V7" i="16"/>
  <c r="AE34" i="16"/>
  <c r="AH34" i="16"/>
  <c r="K34" i="16" s="1"/>
  <c r="K33" i="15" s="1"/>
  <c r="AH30" i="16"/>
  <c r="K30" i="16" s="1"/>
  <c r="K29" i="15" s="1"/>
  <c r="AE30" i="16"/>
  <c r="F15" i="16"/>
  <c r="D14" i="16" s="1"/>
  <c r="D12" i="15" s="1"/>
  <c r="G14" i="16"/>
  <c r="D13" i="15" s="1"/>
  <c r="AH38" i="16"/>
  <c r="K38" i="16" s="1"/>
  <c r="K37" i="15" s="1"/>
  <c r="AE38" i="16"/>
  <c r="AE39" i="16"/>
  <c r="AH39" i="16"/>
  <c r="K39" i="16" s="1"/>
  <c r="K38" i="15" s="1"/>
  <c r="AG11" i="16"/>
  <c r="J24" i="15"/>
  <c r="I10" i="16"/>
  <c r="M8" i="16" s="1"/>
  <c r="AH35" i="16"/>
  <c r="K35" i="16" s="1"/>
  <c r="K34" i="15" s="1"/>
  <c r="AE35" i="16"/>
  <c r="I9" i="16"/>
  <c r="M7" i="16" s="1"/>
  <c r="AE12" i="16"/>
  <c r="J23" i="15"/>
  <c r="AG10" i="16"/>
  <c r="AK10" i="16"/>
  <c r="AH32" i="16"/>
  <c r="K32" i="16" s="1"/>
  <c r="K31" i="15" s="1"/>
  <c r="AE32" i="16"/>
  <c r="AH45" i="16"/>
  <c r="K45" i="16" s="1"/>
  <c r="K44" i="15" s="1"/>
  <c r="AE45" i="16"/>
  <c r="S7" i="16"/>
  <c r="G8" i="15"/>
  <c r="AH46" i="16"/>
  <c r="K46" i="16" s="1"/>
  <c r="K45" i="15" s="1"/>
  <c r="AE46" i="16"/>
  <c r="S8" i="16"/>
  <c r="G12" i="16"/>
  <c r="G9" i="15"/>
  <c r="W8" i="16"/>
  <c r="AH31" i="16"/>
  <c r="K31" i="16" s="1"/>
  <c r="K30" i="15" s="1"/>
  <c r="AE31" i="16"/>
  <c r="W7" i="16"/>
  <c r="U9" i="16"/>
  <c r="AK11" i="16"/>
  <c r="J10" i="16"/>
  <c r="N8" i="16" s="1"/>
  <c r="K24" i="15"/>
  <c r="AH42" i="16"/>
  <c r="K42" i="16" s="1"/>
  <c r="K41" i="15" s="1"/>
  <c r="AE42" i="16"/>
  <c r="AF16" i="16"/>
  <c r="K23" i="15"/>
  <c r="AF12" i="16"/>
  <c r="AQ10" i="16"/>
  <c r="AP10" i="16"/>
  <c r="AP11" i="16" s="1"/>
  <c r="J9" i="16"/>
  <c r="N7" i="16" s="1"/>
  <c r="AH14" i="16"/>
  <c r="AF15" i="16" s="1"/>
  <c r="V9" i="16" l="1"/>
  <c r="R24" i="16"/>
  <c r="W9" i="16"/>
  <c r="V10" i="16" s="1"/>
  <c r="U12" i="16"/>
  <c r="L23" i="15"/>
  <c r="L9" i="16"/>
  <c r="O7" i="16" s="1"/>
  <c r="AM10" i="16"/>
  <c r="AG12" i="16"/>
  <c r="S11" i="16"/>
  <c r="K13" i="16"/>
  <c r="AQ11" i="16"/>
  <c r="AR10" i="16"/>
  <c r="AR11" i="16" s="1"/>
  <c r="V24" i="16"/>
  <c r="J25" i="15"/>
  <c r="I11" i="16"/>
  <c r="M9" i="16" s="1"/>
  <c r="AL10" i="16"/>
  <c r="J11" i="16"/>
  <c r="N9" i="16" s="1"/>
  <c r="K25" i="15"/>
  <c r="AL11" i="16"/>
  <c r="AT11" i="16" s="1"/>
  <c r="AU11" i="16"/>
  <c r="AV11" i="16"/>
  <c r="H43" i="16" s="1"/>
  <c r="H42" i="15" s="1"/>
  <c r="S9" i="16"/>
  <c r="G10" i="15"/>
  <c r="L10" i="16"/>
  <c r="O8" i="16" s="1"/>
  <c r="L24" i="15"/>
  <c r="AM11" i="16"/>
  <c r="AZ11" i="16" l="1"/>
  <c r="H35" i="16"/>
  <c r="H34" i="15" s="1"/>
  <c r="E24" i="16"/>
  <c r="F24" i="15" s="1"/>
  <c r="N16" i="16"/>
  <c r="N17" i="16" s="1"/>
  <c r="J13" i="16"/>
  <c r="L11" i="16"/>
  <c r="O9" i="16" s="1"/>
  <c r="L25" i="15"/>
  <c r="AJ10" i="16"/>
  <c r="O10" i="16"/>
  <c r="O11" i="16"/>
  <c r="H40" i="16"/>
  <c r="H39" i="15" s="1"/>
  <c r="H38" i="16"/>
  <c r="H37" i="15" s="1"/>
  <c r="AN10" i="16"/>
  <c r="AN11" i="16" s="1"/>
  <c r="M12" i="16"/>
  <c r="BI11" i="16"/>
  <c r="R21" i="16"/>
  <c r="R15" i="16" s="1"/>
  <c r="R20" i="16" s="1"/>
  <c r="S12" i="16"/>
  <c r="R11" i="16"/>
  <c r="Q10" i="16"/>
  <c r="Q11" i="16"/>
  <c r="Q12" i="16"/>
  <c r="R10" i="16"/>
  <c r="R14" i="16" s="1"/>
  <c r="R12" i="16"/>
  <c r="W11" i="16"/>
  <c r="V14" i="16" s="1"/>
  <c r="AO10" i="16"/>
  <c r="AO11" i="16" s="1"/>
  <c r="BI10" i="16"/>
  <c r="AT10" i="16"/>
  <c r="E14" i="16"/>
  <c r="E12" i="15" s="1"/>
  <c r="R16" i="16"/>
  <c r="R17" i="16" s="1"/>
  <c r="AU10" i="16"/>
  <c r="V12" i="16"/>
  <c r="V15" i="16"/>
  <c r="N12" i="16"/>
  <c r="V16" i="16"/>
  <c r="V17" i="16" s="1"/>
  <c r="V20" i="16"/>
  <c r="W12" i="16"/>
  <c r="V21" i="16"/>
  <c r="U10" i="16"/>
  <c r="U11" i="16"/>
  <c r="V11" i="16"/>
  <c r="AS10" i="16"/>
  <c r="S10" i="16"/>
  <c r="AV10" i="16"/>
  <c r="H42" i="16" s="1"/>
  <c r="H41" i="15" s="1"/>
  <c r="AS11" i="16"/>
  <c r="W10" i="16"/>
  <c r="H34" i="16" l="1"/>
  <c r="H33" i="15" s="1"/>
  <c r="AZ10" i="16"/>
  <c r="BC10" i="16" s="1"/>
  <c r="I34" i="16" s="1"/>
  <c r="E23" i="16"/>
  <c r="F23" i="15" s="1"/>
  <c r="AY11" i="16"/>
  <c r="D24" i="16"/>
  <c r="E24" i="15" s="1"/>
  <c r="H32" i="16"/>
  <c r="H31" i="15" s="1"/>
  <c r="H30" i="16"/>
  <c r="H29" i="15" s="1"/>
  <c r="O12" i="16"/>
  <c r="N21" i="16"/>
  <c r="N15" i="16" s="1"/>
  <c r="N20" i="16" s="1"/>
  <c r="N11" i="16"/>
  <c r="O13" i="16" s="1"/>
  <c r="M11" i="16"/>
  <c r="O14" i="16" s="1"/>
  <c r="M10" i="16"/>
  <c r="N13" i="16" s="1"/>
  <c r="N18" i="16" s="1"/>
  <c r="N10" i="16"/>
  <c r="N14" i="16" s="1"/>
  <c r="W13" i="16"/>
  <c r="S14" i="16"/>
  <c r="R19" i="16"/>
  <c r="AJ11" i="16"/>
  <c r="BD10" i="16"/>
  <c r="I37" i="16" s="1"/>
  <c r="N19" i="16"/>
  <c r="V13" i="16"/>
  <c r="R13" i="16"/>
  <c r="H37" i="16"/>
  <c r="H36" i="15" s="1"/>
  <c r="H39" i="16"/>
  <c r="H38" i="15" s="1"/>
  <c r="AW10" i="16"/>
  <c r="H31" i="16"/>
  <c r="H30" i="15" s="1"/>
  <c r="D23" i="16"/>
  <c r="E23" i="15" s="1"/>
  <c r="H29" i="16"/>
  <c r="H28" i="15" s="1"/>
  <c r="AY10" i="16"/>
  <c r="W14" i="16"/>
  <c r="V19" i="16" s="1"/>
  <c r="S13" i="16"/>
  <c r="BD11" i="16" l="1"/>
  <c r="I38" i="16" s="1"/>
  <c r="N22" i="16"/>
  <c r="N28" i="16" s="1"/>
  <c r="J14" i="16" s="1"/>
  <c r="BB10" i="16"/>
  <c r="I31" i="16" s="1"/>
  <c r="BA10" i="16"/>
  <c r="I29" i="16" s="1"/>
  <c r="BE10" i="16"/>
  <c r="I39" i="16" s="1"/>
  <c r="BE11" i="16"/>
  <c r="I40" i="16" s="1"/>
  <c r="BB11" i="16"/>
  <c r="I32" i="16" s="1"/>
  <c r="BA11" i="16"/>
  <c r="I30" i="16" s="1"/>
  <c r="R18" i="16"/>
  <c r="R22" i="16" s="1"/>
  <c r="R25" i="16" s="1"/>
  <c r="F14" i="16" s="1"/>
  <c r="F12" i="15" s="1"/>
  <c r="I33" i="15"/>
  <c r="J34" i="16"/>
  <c r="J33" i="15" s="1"/>
  <c r="J37" i="16"/>
  <c r="J36" i="15" s="1"/>
  <c r="I36" i="15"/>
  <c r="BC11" i="16"/>
  <c r="I35" i="16" s="1"/>
  <c r="H45" i="16"/>
  <c r="AW11" i="16"/>
  <c r="AX10" i="16"/>
  <c r="V18" i="16"/>
  <c r="V22" i="16" s="1"/>
  <c r="V25" i="16" s="1"/>
  <c r="I34" i="15" l="1"/>
  <c r="J35" i="16"/>
  <c r="J34" i="15" s="1"/>
  <c r="BG10" i="16"/>
  <c r="I45" i="16" s="1"/>
  <c r="BH10" i="16"/>
  <c r="AX11" i="16"/>
  <c r="BJ10" i="16"/>
  <c r="H46" i="16"/>
  <c r="H45" i="15" s="1"/>
  <c r="H44" i="15"/>
  <c r="J30" i="16"/>
  <c r="J29" i="15" s="1"/>
  <c r="I29" i="15"/>
  <c r="J40" i="16"/>
  <c r="J39" i="15" s="1"/>
  <c r="I39" i="15"/>
  <c r="J29" i="16"/>
  <c r="J28" i="15" s="1"/>
  <c r="I28" i="15"/>
  <c r="I37" i="15"/>
  <c r="J38" i="16"/>
  <c r="J37" i="15" s="1"/>
  <c r="J32" i="16"/>
  <c r="J31" i="15" s="1"/>
  <c r="I31" i="15"/>
  <c r="J39" i="16"/>
  <c r="J38" i="15" s="1"/>
  <c r="I38" i="15"/>
  <c r="I30" i="15"/>
  <c r="J31" i="16"/>
  <c r="J30" i="15" s="1"/>
  <c r="J45" i="16" l="1"/>
  <c r="J44" i="15" s="1"/>
  <c r="I44" i="15"/>
  <c r="BK10" i="16"/>
  <c r="BF10" i="16"/>
  <c r="I42" i="16" s="1"/>
  <c r="BG11" i="16"/>
  <c r="BJ11" i="16"/>
  <c r="BH11" i="16"/>
  <c r="I46" i="16"/>
  <c r="BK11" i="16" l="1"/>
  <c r="BF11" i="16"/>
  <c r="I43" i="16" s="1"/>
  <c r="J42" i="16"/>
  <c r="J41" i="15" s="1"/>
  <c r="I41" i="15"/>
  <c r="I45" i="15"/>
  <c r="J46" i="16"/>
  <c r="J45" i="15" s="1"/>
  <c r="I42" i="15" l="1"/>
  <c r="J43" i="16"/>
  <c r="J42" i="15" s="1"/>
  <c r="C28" i="4" l="1"/>
  <c r="B1" i="4"/>
  <c r="B1" i="13"/>
  <c r="N1" i="13"/>
  <c r="M1" i="13"/>
  <c r="D7" i="14"/>
  <c r="D8" i="14"/>
  <c r="E9" i="14"/>
  <c r="F9" i="14"/>
  <c r="F18" i="14" s="1"/>
  <c r="F16" i="13" s="1"/>
  <c r="D10" i="14"/>
  <c r="C19" i="14" s="1"/>
  <c r="C17" i="13" s="1"/>
  <c r="E11" i="14"/>
  <c r="D19" i="14" s="1"/>
  <c r="D17" i="13" s="1"/>
  <c r="F11" i="14"/>
  <c r="D20" i="14" s="1"/>
  <c r="D18" i="13" s="1"/>
  <c r="E13" i="14"/>
  <c r="F32" i="14" s="1"/>
  <c r="F30" i="13" s="1"/>
  <c r="C17" i="14"/>
  <c r="C15" i="13" s="1"/>
  <c r="E17" i="14"/>
  <c r="E15" i="13" s="1"/>
  <c r="E18" i="14"/>
  <c r="E16" i="13" s="1"/>
  <c r="E19" i="14"/>
  <c r="E21" i="14" s="1"/>
  <c r="E19" i="13" s="1"/>
  <c r="F19" i="14"/>
  <c r="F21" i="14" s="1"/>
  <c r="G19" i="14"/>
  <c r="E20" i="14"/>
  <c r="F20" i="14"/>
  <c r="G20" i="14"/>
  <c r="G18" i="13" s="1"/>
  <c r="H29" i="14"/>
  <c r="D40" i="14"/>
  <c r="F40" i="14" s="1"/>
  <c r="D41" i="14"/>
  <c r="F41" i="14" s="1"/>
  <c r="D42" i="14"/>
  <c r="A4" i="13"/>
  <c r="B4" i="13"/>
  <c r="C4" i="13"/>
  <c r="D4" i="13"/>
  <c r="E4" i="13"/>
  <c r="F4" i="13"/>
  <c r="G4" i="13"/>
  <c r="H4" i="13"/>
  <c r="I4" i="13"/>
  <c r="J4" i="13"/>
  <c r="K4" i="13"/>
  <c r="L4" i="13"/>
  <c r="A5" i="13"/>
  <c r="B5" i="13"/>
  <c r="C5" i="13"/>
  <c r="G5" i="13"/>
  <c r="H5" i="13"/>
  <c r="I5" i="13"/>
  <c r="J5" i="13"/>
  <c r="K5" i="13"/>
  <c r="L5" i="13"/>
  <c r="A6" i="13"/>
  <c r="B6" i="13"/>
  <c r="C6" i="13"/>
  <c r="G6" i="13"/>
  <c r="H6" i="13"/>
  <c r="I6" i="13"/>
  <c r="J6" i="13"/>
  <c r="K6" i="13"/>
  <c r="L6" i="13"/>
  <c r="A7" i="13"/>
  <c r="B7" i="13"/>
  <c r="C7" i="13"/>
  <c r="G7" i="13"/>
  <c r="H7" i="13"/>
  <c r="I7" i="13"/>
  <c r="J7" i="13"/>
  <c r="K7" i="13"/>
  <c r="L7" i="13"/>
  <c r="A8" i="13"/>
  <c r="B8" i="13"/>
  <c r="C8" i="13"/>
  <c r="G8" i="13"/>
  <c r="H8" i="13"/>
  <c r="I8" i="13"/>
  <c r="J8" i="13"/>
  <c r="K8" i="13"/>
  <c r="L8" i="13"/>
  <c r="A9" i="13"/>
  <c r="B9" i="13"/>
  <c r="C9" i="13"/>
  <c r="G9" i="13"/>
  <c r="H9" i="13"/>
  <c r="I9" i="13"/>
  <c r="J9" i="13"/>
  <c r="K9" i="13"/>
  <c r="L9" i="13"/>
  <c r="A10" i="13"/>
  <c r="B10" i="13"/>
  <c r="C10" i="13"/>
  <c r="D10" i="13"/>
  <c r="E10" i="13"/>
  <c r="F10" i="13"/>
  <c r="G10" i="13"/>
  <c r="H10" i="13"/>
  <c r="I10" i="13"/>
  <c r="J10" i="13"/>
  <c r="K10" i="13"/>
  <c r="L10" i="13"/>
  <c r="A11" i="13"/>
  <c r="B11" i="13"/>
  <c r="C11" i="13"/>
  <c r="H11" i="13"/>
  <c r="I11" i="13"/>
  <c r="J11" i="13"/>
  <c r="K11" i="13"/>
  <c r="L11" i="13"/>
  <c r="A12" i="13"/>
  <c r="B12" i="13"/>
  <c r="C12" i="13"/>
  <c r="D12" i="13"/>
  <c r="E12" i="13"/>
  <c r="F12" i="13"/>
  <c r="G12" i="13"/>
  <c r="H12" i="13"/>
  <c r="I12" i="13"/>
  <c r="J12" i="13"/>
  <c r="K12" i="13"/>
  <c r="L12" i="13"/>
  <c r="A13" i="13"/>
  <c r="B13" i="13"/>
  <c r="C13" i="13"/>
  <c r="D13" i="13"/>
  <c r="E13" i="13"/>
  <c r="F13" i="13"/>
  <c r="G13" i="13"/>
  <c r="H13" i="13"/>
  <c r="I13" i="13"/>
  <c r="J13" i="13"/>
  <c r="K13" i="13"/>
  <c r="L13" i="13"/>
  <c r="A14" i="13"/>
  <c r="B14" i="13"/>
  <c r="C14" i="13"/>
  <c r="D14" i="13"/>
  <c r="E14" i="13"/>
  <c r="F14" i="13"/>
  <c r="G14" i="13"/>
  <c r="H14" i="13"/>
  <c r="I14" i="13"/>
  <c r="J14" i="13"/>
  <c r="K14" i="13"/>
  <c r="L14" i="13"/>
  <c r="A15" i="13"/>
  <c r="B15" i="13"/>
  <c r="D15" i="13"/>
  <c r="F15" i="13"/>
  <c r="G15" i="13"/>
  <c r="H15" i="13"/>
  <c r="I15" i="13"/>
  <c r="J15" i="13"/>
  <c r="K15" i="13"/>
  <c r="L15" i="13"/>
  <c r="A16" i="13"/>
  <c r="B16" i="13"/>
  <c r="C16" i="13"/>
  <c r="D16" i="13"/>
  <c r="G16" i="13"/>
  <c r="H16" i="13"/>
  <c r="I16" i="13"/>
  <c r="J16" i="13"/>
  <c r="K16" i="13"/>
  <c r="L16" i="13"/>
  <c r="A17" i="13"/>
  <c r="B17" i="13"/>
  <c r="H17" i="13"/>
  <c r="L17" i="13"/>
  <c r="A18" i="13"/>
  <c r="B18" i="13"/>
  <c r="C18" i="13"/>
  <c r="H18" i="13"/>
  <c r="L18" i="13"/>
  <c r="A19" i="13"/>
  <c r="B19" i="13"/>
  <c r="C19" i="13"/>
  <c r="D19" i="13"/>
  <c r="H19" i="13"/>
  <c r="L19" i="13"/>
  <c r="A20" i="13"/>
  <c r="B20" i="13"/>
  <c r="C20" i="13"/>
  <c r="D20" i="13"/>
  <c r="E20" i="13"/>
  <c r="F20" i="13"/>
  <c r="G20" i="13"/>
  <c r="H20" i="13"/>
  <c r="I20" i="13"/>
  <c r="J20" i="13"/>
  <c r="K20" i="13"/>
  <c r="L20" i="13"/>
  <c r="A21" i="13"/>
  <c r="B21" i="13"/>
  <c r="C21" i="13"/>
  <c r="D21" i="13"/>
  <c r="E21" i="13"/>
  <c r="F21" i="13"/>
  <c r="G21" i="13"/>
  <c r="H21" i="13"/>
  <c r="I21" i="13"/>
  <c r="J21" i="13"/>
  <c r="K21" i="13"/>
  <c r="L21" i="13"/>
  <c r="A22" i="13"/>
  <c r="B22" i="13"/>
  <c r="C22" i="13"/>
  <c r="D22" i="13"/>
  <c r="E22" i="13"/>
  <c r="F22" i="13"/>
  <c r="G22" i="13"/>
  <c r="H22" i="13"/>
  <c r="I22" i="13"/>
  <c r="J22" i="13"/>
  <c r="K22" i="13"/>
  <c r="L22" i="13"/>
  <c r="A23" i="13"/>
  <c r="B23" i="13"/>
  <c r="C23" i="13"/>
  <c r="I23" i="13"/>
  <c r="J23" i="13"/>
  <c r="K23" i="13"/>
  <c r="L23" i="13"/>
  <c r="A24" i="13"/>
  <c r="B24" i="13"/>
  <c r="C24" i="13"/>
  <c r="I24" i="13"/>
  <c r="J24" i="13"/>
  <c r="K24" i="13"/>
  <c r="L24" i="13"/>
  <c r="A25" i="13"/>
  <c r="B25" i="13"/>
  <c r="C25" i="13"/>
  <c r="D25" i="13"/>
  <c r="E25" i="13"/>
  <c r="F25" i="13"/>
  <c r="G25" i="13"/>
  <c r="H25" i="13"/>
  <c r="I25" i="13"/>
  <c r="J25" i="13"/>
  <c r="K25" i="13"/>
  <c r="L25" i="13"/>
  <c r="A26" i="13"/>
  <c r="B26" i="13"/>
  <c r="C26" i="13"/>
  <c r="F26" i="13"/>
  <c r="G26" i="13"/>
  <c r="H26" i="13"/>
  <c r="I26" i="13"/>
  <c r="J26" i="13"/>
  <c r="K26" i="13"/>
  <c r="L26" i="13"/>
  <c r="A27" i="13"/>
  <c r="B27" i="13"/>
  <c r="C27" i="13"/>
  <c r="I27" i="13"/>
  <c r="J27" i="13"/>
  <c r="K27" i="13"/>
  <c r="L27" i="13"/>
  <c r="A28" i="13"/>
  <c r="B28" i="13"/>
  <c r="C28" i="13"/>
  <c r="H28" i="13"/>
  <c r="I28" i="13"/>
  <c r="J28" i="13"/>
  <c r="K28" i="13"/>
  <c r="L28" i="13"/>
  <c r="A29" i="13"/>
  <c r="B29" i="13"/>
  <c r="C29" i="13"/>
  <c r="D29" i="13"/>
  <c r="E29" i="13"/>
  <c r="F29" i="13"/>
  <c r="G29" i="13"/>
  <c r="H29" i="13"/>
  <c r="I29" i="13"/>
  <c r="J29" i="13"/>
  <c r="K29" i="13"/>
  <c r="L29" i="13"/>
  <c r="A30" i="13"/>
  <c r="B30" i="13"/>
  <c r="E30" i="13"/>
  <c r="G30" i="13"/>
  <c r="H30" i="13"/>
  <c r="I30" i="13"/>
  <c r="J30" i="13"/>
  <c r="K30" i="13"/>
  <c r="L30" i="13"/>
  <c r="A31" i="13"/>
  <c r="B31" i="13"/>
  <c r="C31" i="13"/>
  <c r="D31" i="13"/>
  <c r="E31" i="13"/>
  <c r="F31" i="13"/>
  <c r="G31" i="13"/>
  <c r="H31" i="13"/>
  <c r="I31" i="13"/>
  <c r="J31" i="13"/>
  <c r="K31" i="13"/>
  <c r="L31" i="13"/>
  <c r="A32" i="13"/>
  <c r="B32" i="13"/>
  <c r="C32" i="13"/>
  <c r="H32" i="13"/>
  <c r="I32" i="13"/>
  <c r="J32" i="13"/>
  <c r="K32" i="13"/>
  <c r="L32" i="13"/>
  <c r="C33" i="13"/>
  <c r="A36" i="13"/>
  <c r="B36" i="13"/>
  <c r="C36" i="13"/>
  <c r="D36" i="13"/>
  <c r="E36" i="13"/>
  <c r="F36" i="13"/>
  <c r="G36" i="13"/>
  <c r="H36" i="13"/>
  <c r="I36" i="13"/>
  <c r="J36" i="13"/>
  <c r="K36" i="13"/>
  <c r="L36" i="13"/>
  <c r="A37" i="13"/>
  <c r="B37" i="13"/>
  <c r="C37" i="13"/>
  <c r="I37" i="13"/>
  <c r="J37" i="13"/>
  <c r="K37" i="13"/>
  <c r="L37" i="13"/>
  <c r="A38" i="13"/>
  <c r="B38" i="13"/>
  <c r="C38" i="13"/>
  <c r="D38" i="13"/>
  <c r="E38" i="13"/>
  <c r="F38" i="13"/>
  <c r="G38" i="13"/>
  <c r="H38" i="13"/>
  <c r="I38" i="13"/>
  <c r="J38" i="13"/>
  <c r="K38" i="13"/>
  <c r="L38" i="13"/>
  <c r="A39" i="13"/>
  <c r="B39" i="13"/>
  <c r="C39" i="13"/>
  <c r="G39" i="13"/>
  <c r="H39" i="13"/>
  <c r="I39" i="13"/>
  <c r="J39" i="13"/>
  <c r="K39" i="13"/>
  <c r="L39" i="13"/>
  <c r="A40" i="13"/>
  <c r="B40" i="13"/>
  <c r="C40" i="13"/>
  <c r="G40" i="13"/>
  <c r="H40" i="13"/>
  <c r="I40" i="13"/>
  <c r="J40" i="13"/>
  <c r="K40" i="13"/>
  <c r="L40" i="13"/>
  <c r="A41" i="13"/>
  <c r="B41" i="13"/>
  <c r="C41" i="13"/>
  <c r="G41" i="13"/>
  <c r="H41" i="13"/>
  <c r="I41" i="13"/>
  <c r="J41" i="13"/>
  <c r="K41" i="13"/>
  <c r="L41" i="13"/>
  <c r="A42" i="13"/>
  <c r="B42" i="13"/>
  <c r="C42" i="13"/>
  <c r="E42" i="13"/>
  <c r="G42" i="13"/>
  <c r="H42" i="13"/>
  <c r="I42" i="13"/>
  <c r="J42" i="13"/>
  <c r="K42" i="13"/>
  <c r="L42" i="13"/>
  <c r="A43" i="13"/>
  <c r="B43" i="13"/>
  <c r="C43" i="13"/>
  <c r="D43" i="13"/>
  <c r="E43" i="13"/>
  <c r="F43" i="13"/>
  <c r="G43" i="13"/>
  <c r="H43" i="13"/>
  <c r="I43" i="13"/>
  <c r="J43" i="13"/>
  <c r="K43" i="13"/>
  <c r="L43" i="13"/>
  <c r="A44" i="13"/>
  <c r="B44" i="13"/>
  <c r="C44" i="13"/>
  <c r="D44" i="13"/>
  <c r="E44" i="13"/>
  <c r="F44" i="13"/>
  <c r="G44" i="13"/>
  <c r="H44" i="13"/>
  <c r="I44" i="13"/>
  <c r="J44" i="13"/>
  <c r="K44" i="13"/>
  <c r="L44" i="13"/>
  <c r="A45" i="13"/>
  <c r="B45" i="13"/>
  <c r="C45" i="13"/>
  <c r="D45" i="13"/>
  <c r="E45" i="13"/>
  <c r="F45" i="13"/>
  <c r="G45" i="13"/>
  <c r="H45" i="13"/>
  <c r="I45" i="13"/>
  <c r="J45" i="13"/>
  <c r="K45" i="13"/>
  <c r="L45" i="13"/>
  <c r="A46" i="13"/>
  <c r="B46" i="13"/>
  <c r="C46" i="13"/>
  <c r="D46" i="13"/>
  <c r="E46" i="13"/>
  <c r="F46" i="13"/>
  <c r="G46" i="13"/>
  <c r="H46" i="13"/>
  <c r="I46" i="13"/>
  <c r="J46" i="13"/>
  <c r="K46" i="13"/>
  <c r="L46" i="13"/>
  <c r="A47" i="13"/>
  <c r="B47" i="13"/>
  <c r="C47" i="13"/>
  <c r="D47" i="13"/>
  <c r="E47" i="13"/>
  <c r="F47" i="13"/>
  <c r="G47" i="13"/>
  <c r="H47" i="13"/>
  <c r="I47" i="13"/>
  <c r="J47" i="13"/>
  <c r="K47" i="13"/>
  <c r="L47" i="13"/>
  <c r="A48" i="13"/>
  <c r="B48" i="13"/>
  <c r="C48" i="13"/>
  <c r="D48" i="13"/>
  <c r="E48" i="13"/>
  <c r="F48" i="13"/>
  <c r="G48" i="13"/>
  <c r="H48" i="13"/>
  <c r="I48" i="13"/>
  <c r="J48" i="13"/>
  <c r="K48" i="13"/>
  <c r="L48" i="13"/>
  <c r="A49" i="13"/>
  <c r="B49" i="13"/>
  <c r="C49" i="13"/>
  <c r="D49" i="13"/>
  <c r="E49" i="13"/>
  <c r="F49" i="13"/>
  <c r="G49" i="13"/>
  <c r="H49" i="13"/>
  <c r="I49" i="13"/>
  <c r="J49" i="13"/>
  <c r="K49" i="13"/>
  <c r="L49" i="13"/>
  <c r="A50" i="13"/>
  <c r="B50" i="13"/>
  <c r="C50" i="13"/>
  <c r="D50" i="13"/>
  <c r="E50" i="13"/>
  <c r="F50" i="13"/>
  <c r="G50" i="13"/>
  <c r="H50" i="13"/>
  <c r="I50" i="13"/>
  <c r="J50" i="13"/>
  <c r="K50" i="13"/>
  <c r="L50" i="13"/>
  <c r="A51" i="13"/>
  <c r="B51" i="13"/>
  <c r="C51" i="13"/>
  <c r="D51" i="13"/>
  <c r="E51" i="13"/>
  <c r="F51" i="13"/>
  <c r="G51" i="13"/>
  <c r="H51" i="13"/>
  <c r="I51" i="13"/>
  <c r="J51" i="13"/>
  <c r="K51" i="13"/>
  <c r="L51" i="13"/>
  <c r="A52" i="13"/>
  <c r="B52" i="13"/>
  <c r="C52" i="13"/>
  <c r="D52" i="13"/>
  <c r="E52" i="13"/>
  <c r="F52" i="13"/>
  <c r="G52" i="13"/>
  <c r="H52" i="13"/>
  <c r="I52" i="13"/>
  <c r="J52" i="13"/>
  <c r="K52" i="13"/>
  <c r="L52" i="13"/>
  <c r="A53" i="13"/>
  <c r="B53" i="13"/>
  <c r="C53" i="13"/>
  <c r="D53" i="13"/>
  <c r="E53" i="13"/>
  <c r="F53" i="13"/>
  <c r="G53" i="13"/>
  <c r="H53" i="13"/>
  <c r="I53" i="13"/>
  <c r="J53" i="13"/>
  <c r="K53" i="13"/>
  <c r="L53" i="13"/>
  <c r="A54" i="13"/>
  <c r="B54" i="13"/>
  <c r="C54" i="13"/>
  <c r="D54" i="13"/>
  <c r="E54" i="13"/>
  <c r="F54" i="13"/>
  <c r="G54" i="13"/>
  <c r="H54" i="13"/>
  <c r="I54" i="13"/>
  <c r="J54" i="13"/>
  <c r="K54" i="13"/>
  <c r="L54" i="13"/>
  <c r="A55" i="13"/>
  <c r="B55" i="13"/>
  <c r="C55" i="13"/>
  <c r="D55" i="13"/>
  <c r="E55" i="13"/>
  <c r="F55" i="13"/>
  <c r="G55" i="13"/>
  <c r="H55" i="13"/>
  <c r="I55" i="13"/>
  <c r="J55" i="13"/>
  <c r="K55" i="13"/>
  <c r="L55" i="13"/>
  <c r="A56" i="13"/>
  <c r="B56" i="13"/>
  <c r="C56" i="13"/>
  <c r="D56" i="13"/>
  <c r="E56" i="13"/>
  <c r="F56" i="13"/>
  <c r="G56" i="13"/>
  <c r="H56" i="13"/>
  <c r="I56" i="13"/>
  <c r="J56" i="13"/>
  <c r="K56" i="13"/>
  <c r="L56" i="13"/>
  <c r="A57" i="13"/>
  <c r="B57" i="13"/>
  <c r="C57" i="13"/>
  <c r="D57" i="13"/>
  <c r="E57" i="13"/>
  <c r="F57" i="13"/>
  <c r="G57" i="13"/>
  <c r="H57" i="13"/>
  <c r="I57" i="13"/>
  <c r="J57" i="13"/>
  <c r="K57" i="13"/>
  <c r="L57" i="13"/>
  <c r="A58" i="13"/>
  <c r="B58" i="13"/>
  <c r="C58" i="13"/>
  <c r="D58" i="13"/>
  <c r="E58" i="13"/>
  <c r="F58" i="13"/>
  <c r="G58" i="13"/>
  <c r="H58" i="13"/>
  <c r="I58" i="13"/>
  <c r="J58" i="13"/>
  <c r="K58" i="13"/>
  <c r="L58" i="13"/>
  <c r="A59" i="13"/>
  <c r="B59" i="13"/>
  <c r="C59" i="13"/>
  <c r="D59" i="13"/>
  <c r="E59" i="13"/>
  <c r="F59" i="13"/>
  <c r="G59" i="13"/>
  <c r="H59" i="13"/>
  <c r="I59" i="13"/>
  <c r="J59" i="13"/>
  <c r="K59" i="13"/>
  <c r="L59" i="13"/>
  <c r="A60" i="13"/>
  <c r="B60" i="13"/>
  <c r="C60" i="13"/>
  <c r="D60" i="13"/>
  <c r="E60" i="13"/>
  <c r="F60" i="13"/>
  <c r="G60" i="13"/>
  <c r="H60" i="13"/>
  <c r="I60" i="13"/>
  <c r="J60" i="13"/>
  <c r="K60" i="13"/>
  <c r="L60" i="13"/>
  <c r="A61" i="13"/>
  <c r="B61" i="13"/>
  <c r="C61" i="13"/>
  <c r="D61" i="13"/>
  <c r="E61" i="13"/>
  <c r="F61" i="13"/>
  <c r="G61" i="13"/>
  <c r="H61" i="13"/>
  <c r="I61" i="13"/>
  <c r="J61" i="13"/>
  <c r="K61" i="13"/>
  <c r="L61" i="13"/>
  <c r="A62" i="13"/>
  <c r="B62" i="13"/>
  <c r="C62" i="13"/>
  <c r="D62" i="13"/>
  <c r="E62" i="13"/>
  <c r="F62" i="13"/>
  <c r="G62" i="13"/>
  <c r="H62" i="13"/>
  <c r="I62" i="13"/>
  <c r="J62" i="13"/>
  <c r="K62" i="13"/>
  <c r="L62" i="13"/>
  <c r="E30" i="14" l="1"/>
  <c r="F30" i="14" s="1"/>
  <c r="F28" i="13" s="1"/>
  <c r="G13" i="14"/>
  <c r="E29" i="14"/>
  <c r="G21" i="14"/>
  <c r="G19" i="13" s="1"/>
  <c r="F43" i="14"/>
  <c r="D43" i="14" s="1"/>
  <c r="D42" i="13" s="1"/>
  <c r="E27" i="13"/>
  <c r="F29" i="14"/>
  <c r="F27" i="13" s="1"/>
  <c r="K20" i="14"/>
  <c r="K18" i="13" s="1"/>
  <c r="I19" i="14"/>
  <c r="I17" i="13" s="1"/>
  <c r="E26" i="14"/>
  <c r="D26" i="14"/>
  <c r="D24" i="13" s="1"/>
  <c r="J19" i="14"/>
  <c r="J17" i="13" s="1"/>
  <c r="K21" i="14"/>
  <c r="K19" i="13" s="1"/>
  <c r="E35" i="14"/>
  <c r="E33" i="13" s="1"/>
  <c r="D35" i="14"/>
  <c r="G17" i="13"/>
  <c r="C30" i="4"/>
  <c r="B1" i="9"/>
  <c r="N1" i="9"/>
  <c r="M1" i="9"/>
  <c r="E28" i="13" l="1"/>
  <c r="I20" i="14"/>
  <c r="I18" i="13" s="1"/>
  <c r="I21" i="14"/>
  <c r="I19" i="13" s="1"/>
  <c r="J21" i="14"/>
  <c r="J19" i="13" s="1"/>
  <c r="D34" i="14"/>
  <c r="K19" i="14"/>
  <c r="K17" i="13" s="1"/>
  <c r="J20" i="14"/>
  <c r="J18" i="13" s="1"/>
  <c r="D32" i="13"/>
  <c r="D33" i="13"/>
  <c r="G35" i="14"/>
  <c r="G33" i="13" s="1"/>
  <c r="F35" i="14"/>
  <c r="F33" i="13" s="1"/>
  <c r="F26" i="14"/>
  <c r="F24" i="13" s="1"/>
  <c r="E24" i="13"/>
  <c r="E34" i="14"/>
  <c r="E32" i="13" s="1"/>
  <c r="B58" i="2"/>
  <c r="A58" i="2"/>
  <c r="B57" i="2"/>
  <c r="A57" i="2"/>
  <c r="B56" i="2"/>
  <c r="G5" i="2"/>
  <c r="G34" i="14" l="1"/>
  <c r="G32" i="13" s="1"/>
  <c r="F34" i="14"/>
  <c r="F32" i="13" s="1"/>
  <c r="J42" i="7"/>
  <c r="J33" i="7"/>
  <c r="J11" i="9" l="1"/>
  <c r="K11" i="9"/>
  <c r="J12" i="9"/>
  <c r="K12" i="9"/>
  <c r="K79" i="10"/>
  <c r="J78" i="10"/>
  <c r="C67" i="10"/>
  <c r="E57" i="10"/>
  <c r="E56" i="10"/>
  <c r="H56" i="10" s="1"/>
  <c r="E51" i="10"/>
  <c r="F51" i="10" s="1"/>
  <c r="F38" i="9" s="1"/>
  <c r="E49" i="10"/>
  <c r="E41" i="10"/>
  <c r="J42" i="10" s="1"/>
  <c r="I29" i="9" s="1"/>
  <c r="E33" i="10"/>
  <c r="E32" i="10"/>
  <c r="R24" i="10"/>
  <c r="Q24" i="10"/>
  <c r="J20" i="9" s="1"/>
  <c r="P24" i="10"/>
  <c r="R8" i="10"/>
  <c r="I52" i="9"/>
  <c r="H52" i="9"/>
  <c r="G52" i="9"/>
  <c r="F52" i="9"/>
  <c r="E52" i="9"/>
  <c r="D52" i="9"/>
  <c r="C52" i="9"/>
  <c r="B52" i="9"/>
  <c r="G49" i="9"/>
  <c r="F49" i="9"/>
  <c r="E49" i="9"/>
  <c r="D49" i="9"/>
  <c r="C49" i="9"/>
  <c r="G48" i="9"/>
  <c r="F48" i="9"/>
  <c r="D48" i="9"/>
  <c r="C48" i="9"/>
  <c r="G47" i="9"/>
  <c r="F47" i="9"/>
  <c r="D47" i="9"/>
  <c r="C47" i="9"/>
  <c r="G46" i="9"/>
  <c r="F46" i="9"/>
  <c r="D46" i="9"/>
  <c r="C46" i="9"/>
  <c r="H45" i="9"/>
  <c r="G45" i="9"/>
  <c r="F45" i="9"/>
  <c r="D45" i="9"/>
  <c r="C45" i="9"/>
  <c r="G44" i="9"/>
  <c r="D44" i="9"/>
  <c r="C44" i="9"/>
  <c r="H43" i="9"/>
  <c r="F43" i="9"/>
  <c r="D43" i="9"/>
  <c r="C43" i="9"/>
  <c r="H42" i="9"/>
  <c r="G42" i="9"/>
  <c r="F42" i="9"/>
  <c r="D42" i="9"/>
  <c r="C42" i="9"/>
  <c r="G40" i="9"/>
  <c r="D40" i="9"/>
  <c r="C40" i="9"/>
  <c r="G39" i="9"/>
  <c r="F39" i="9"/>
  <c r="D39" i="9"/>
  <c r="C39" i="9"/>
  <c r="I38" i="9"/>
  <c r="H38" i="9"/>
  <c r="D38" i="9"/>
  <c r="C38" i="9"/>
  <c r="B38" i="9"/>
  <c r="C37" i="9"/>
  <c r="B37" i="9"/>
  <c r="P36" i="9"/>
  <c r="O36" i="9"/>
  <c r="N36" i="9"/>
  <c r="M36" i="9"/>
  <c r="F36" i="9"/>
  <c r="E36" i="9"/>
  <c r="D36" i="9"/>
  <c r="C36" i="9"/>
  <c r="B36" i="9"/>
  <c r="A36" i="9"/>
  <c r="P35" i="9"/>
  <c r="O35" i="9"/>
  <c r="N35" i="9"/>
  <c r="M35" i="9"/>
  <c r="L35" i="9"/>
  <c r="K35" i="9"/>
  <c r="J35" i="9"/>
  <c r="I35" i="9"/>
  <c r="H35" i="9"/>
  <c r="B35" i="9"/>
  <c r="A35" i="9"/>
  <c r="P34" i="9"/>
  <c r="O34" i="9"/>
  <c r="N34" i="9"/>
  <c r="M34" i="9"/>
  <c r="L34" i="9"/>
  <c r="K34" i="9"/>
  <c r="J34" i="9"/>
  <c r="C34" i="9"/>
  <c r="B34" i="9"/>
  <c r="A34" i="9"/>
  <c r="P32" i="9"/>
  <c r="O32" i="9"/>
  <c r="N32" i="9"/>
  <c r="M32" i="9"/>
  <c r="L32" i="9"/>
  <c r="K32" i="9"/>
  <c r="J32" i="9"/>
  <c r="I32" i="9"/>
  <c r="H32" i="9"/>
  <c r="G32" i="9"/>
  <c r="F32" i="9"/>
  <c r="D32" i="9"/>
  <c r="C32" i="9"/>
  <c r="B32" i="9"/>
  <c r="A32" i="9"/>
  <c r="P31" i="9"/>
  <c r="O31" i="9"/>
  <c r="N31" i="9"/>
  <c r="M31" i="9"/>
  <c r="L31" i="9"/>
  <c r="K31" i="9"/>
  <c r="J31" i="9"/>
  <c r="D31" i="9"/>
  <c r="C31" i="9"/>
  <c r="B31" i="9"/>
  <c r="A31" i="9"/>
  <c r="P30" i="9"/>
  <c r="O30" i="9"/>
  <c r="N30" i="9"/>
  <c r="M30" i="9"/>
  <c r="L30" i="9"/>
  <c r="K30" i="9"/>
  <c r="J30" i="9"/>
  <c r="H30" i="9"/>
  <c r="G30" i="9"/>
  <c r="D30" i="9"/>
  <c r="C30" i="9"/>
  <c r="B30" i="9"/>
  <c r="A30" i="9"/>
  <c r="P29" i="9"/>
  <c r="H29" i="9"/>
  <c r="G29" i="9"/>
  <c r="F29" i="9"/>
  <c r="D29" i="9"/>
  <c r="C29" i="9"/>
  <c r="B29" i="9"/>
  <c r="A29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P27" i="9"/>
  <c r="O27" i="9"/>
  <c r="N27" i="9"/>
  <c r="M27" i="9"/>
  <c r="L27" i="9"/>
  <c r="K27" i="9"/>
  <c r="J27" i="9"/>
  <c r="I27" i="9"/>
  <c r="C27" i="9"/>
  <c r="B27" i="9"/>
  <c r="A27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L24" i="9"/>
  <c r="H24" i="9"/>
  <c r="D24" i="9"/>
  <c r="B24" i="9"/>
  <c r="A24" i="9"/>
  <c r="L23" i="9"/>
  <c r="D23" i="9"/>
  <c r="B23" i="9"/>
  <c r="A23" i="9"/>
  <c r="L22" i="9"/>
  <c r="D22" i="9"/>
  <c r="B22" i="9"/>
  <c r="A22" i="9"/>
  <c r="L21" i="9"/>
  <c r="H21" i="9"/>
  <c r="D21" i="9"/>
  <c r="B21" i="9"/>
  <c r="A21" i="9"/>
  <c r="L20" i="9"/>
  <c r="K20" i="9"/>
  <c r="I20" i="9"/>
  <c r="H20" i="9"/>
  <c r="G20" i="9"/>
  <c r="F20" i="9"/>
  <c r="E20" i="9"/>
  <c r="D20" i="9"/>
  <c r="B20" i="9"/>
  <c r="A20" i="9"/>
  <c r="B19" i="9"/>
  <c r="A19" i="9"/>
  <c r="P18" i="9"/>
  <c r="O18" i="9"/>
  <c r="N18" i="9"/>
  <c r="M18" i="9"/>
  <c r="L18" i="9"/>
  <c r="K18" i="9"/>
  <c r="J18" i="9"/>
  <c r="I18" i="9"/>
  <c r="H18" i="9"/>
  <c r="G18" i="9"/>
  <c r="F18" i="9"/>
  <c r="E18" i="9"/>
  <c r="C18" i="9"/>
  <c r="B18" i="9"/>
  <c r="A18" i="9"/>
  <c r="P17" i="9"/>
  <c r="O17" i="9"/>
  <c r="N17" i="9"/>
  <c r="M17" i="9"/>
  <c r="L17" i="9"/>
  <c r="K17" i="9"/>
  <c r="J17" i="9"/>
  <c r="I17" i="9"/>
  <c r="H17" i="9"/>
  <c r="C17" i="9"/>
  <c r="B17" i="9"/>
  <c r="A17" i="9"/>
  <c r="G15" i="9"/>
  <c r="D15" i="9"/>
  <c r="C15" i="9"/>
  <c r="B15" i="9"/>
  <c r="G14" i="9"/>
  <c r="D14" i="9"/>
  <c r="C14" i="9"/>
  <c r="B14" i="9"/>
  <c r="O16" i="9"/>
  <c r="N16" i="9"/>
  <c r="G13" i="9"/>
  <c r="F13" i="9"/>
  <c r="C13" i="9"/>
  <c r="B13" i="9"/>
  <c r="A16" i="9"/>
  <c r="R15" i="9"/>
  <c r="Q15" i="9"/>
  <c r="P15" i="9"/>
  <c r="O15" i="9"/>
  <c r="A15" i="9"/>
  <c r="Q13" i="9"/>
  <c r="P13" i="9"/>
  <c r="O13" i="9"/>
  <c r="N13" i="9"/>
  <c r="M13" i="9"/>
  <c r="F11" i="9"/>
  <c r="A13" i="9"/>
  <c r="Q12" i="9"/>
  <c r="D10" i="9"/>
  <c r="C12" i="9"/>
  <c r="B12" i="9"/>
  <c r="A12" i="9"/>
  <c r="Q11" i="9"/>
  <c r="G11" i="9"/>
  <c r="F9" i="9"/>
  <c r="E9" i="9"/>
  <c r="D9" i="9"/>
  <c r="C11" i="9"/>
  <c r="B11" i="9"/>
  <c r="A11" i="9"/>
  <c r="M10" i="9"/>
  <c r="H13" i="9"/>
  <c r="G10" i="9"/>
  <c r="F8" i="9"/>
  <c r="D8" i="9"/>
  <c r="C10" i="9"/>
  <c r="B10" i="9"/>
  <c r="A10" i="9"/>
  <c r="G9" i="9"/>
  <c r="D7" i="9"/>
  <c r="C9" i="9"/>
  <c r="B9" i="9"/>
  <c r="A9" i="9"/>
  <c r="G8" i="9"/>
  <c r="D6" i="9"/>
  <c r="C8" i="9"/>
  <c r="B8" i="9"/>
  <c r="A8" i="9"/>
  <c r="R7" i="9"/>
  <c r="Q7" i="9"/>
  <c r="G7" i="9"/>
  <c r="C7" i="9"/>
  <c r="B7" i="9"/>
  <c r="A7" i="9"/>
  <c r="R6" i="9"/>
  <c r="Q6" i="9"/>
  <c r="P6" i="9"/>
  <c r="O6" i="9"/>
  <c r="N6" i="9"/>
  <c r="G4" i="9"/>
  <c r="F4" i="9"/>
  <c r="B4" i="9"/>
  <c r="R5" i="9"/>
  <c r="Q5" i="9"/>
  <c r="P5" i="9"/>
  <c r="O5" i="9"/>
  <c r="N5" i="9"/>
  <c r="A5" i="9"/>
  <c r="E50" i="10" l="1"/>
  <c r="F50" i="10"/>
  <c r="F37" i="9" s="1"/>
  <c r="H57" i="10"/>
  <c r="J57" i="10" s="1"/>
  <c r="J58" i="10" s="1"/>
  <c r="E59" i="10" s="1"/>
  <c r="E46" i="9" s="1"/>
  <c r="E42" i="10"/>
  <c r="J60" i="10"/>
  <c r="J61" i="10"/>
  <c r="K61" i="10" s="1"/>
  <c r="D31" i="10"/>
  <c r="D25" i="10"/>
  <c r="D25" i="9" s="1"/>
  <c r="E13" i="10"/>
  <c r="D79" i="10"/>
  <c r="D40" i="10"/>
  <c r="D27" i="9" s="1"/>
  <c r="G12" i="10"/>
  <c r="F10" i="9" s="1"/>
  <c r="K60" i="10" l="1"/>
  <c r="L60" i="10" s="1"/>
  <c r="L61" i="10" s="1"/>
  <c r="F84" i="10"/>
  <c r="F85" i="10" s="1"/>
  <c r="I43" i="10"/>
  <c r="E91" i="10"/>
  <c r="G97" i="10" s="1"/>
  <c r="F43" i="10"/>
  <c r="F30" i="9" s="1"/>
  <c r="E58" i="10"/>
  <c r="E11" i="9"/>
  <c r="E45" i="9" l="1"/>
  <c r="E60" i="10"/>
  <c r="E47" i="9" s="1"/>
  <c r="F61" i="10" l="1"/>
  <c r="E61" i="10" s="1"/>
  <c r="E48" i="9" s="1"/>
  <c r="R1" i="1" l="1"/>
  <c r="R3" i="1" s="1"/>
  <c r="E8" i="7" l="1"/>
  <c r="C5" i="7"/>
  <c r="C3" i="6"/>
  <c r="B6" i="6"/>
  <c r="B5" i="6"/>
  <c r="E25" i="1"/>
  <c r="E24" i="1"/>
  <c r="E7" i="7"/>
  <c r="C9" i="8"/>
  <c r="C10" i="8"/>
  <c r="C11" i="8"/>
  <c r="C8" i="8"/>
  <c r="H3" i="8"/>
  <c r="H4" i="8" s="1"/>
  <c r="H5" i="8" s="1"/>
  <c r="H6" i="8" s="1"/>
  <c r="H7" i="8" s="1"/>
  <c r="H8" i="8" s="1"/>
  <c r="H9" i="8" s="1"/>
  <c r="H10" i="8" s="1"/>
  <c r="H11" i="8" s="1"/>
  <c r="H1" i="8"/>
  <c r="F7" i="7" l="1"/>
  <c r="C5" i="6"/>
  <c r="F24" i="1"/>
  <c r="C6" i="6"/>
  <c r="F8" i="7"/>
  <c r="F25" i="1"/>
  <c r="C84" i="4"/>
  <c r="D84" i="4"/>
  <c r="G84" i="4"/>
  <c r="C85" i="4"/>
  <c r="D85" i="4"/>
  <c r="G85" i="4"/>
  <c r="C87" i="4"/>
  <c r="C88" i="4"/>
  <c r="D88" i="4"/>
  <c r="D71" i="4" l="1"/>
  <c r="F71" i="4"/>
  <c r="F70" i="4"/>
  <c r="D69" i="4"/>
  <c r="E72" i="4"/>
  <c r="E73" i="4"/>
  <c r="J47" i="4"/>
  <c r="J52" i="4"/>
  <c r="J66" i="4"/>
  <c r="L49" i="4"/>
  <c r="I69" i="1"/>
  <c r="J64" i="4" s="1"/>
  <c r="I70" i="1"/>
  <c r="J65" i="4" s="1"/>
  <c r="I71" i="1"/>
  <c r="I72" i="1"/>
  <c r="I73" i="1"/>
  <c r="I74" i="1"/>
  <c r="I75" i="1"/>
  <c r="I76" i="1"/>
  <c r="I77" i="1"/>
  <c r="I78" i="1"/>
  <c r="I79" i="1"/>
  <c r="I80" i="1"/>
  <c r="I68" i="1"/>
  <c r="J63" i="4" s="1"/>
  <c r="F69" i="4"/>
  <c r="L69" i="4"/>
  <c r="D68" i="4"/>
  <c r="F68" i="4"/>
  <c r="G68" i="4"/>
  <c r="H68" i="4"/>
  <c r="I68" i="4"/>
  <c r="C65" i="4"/>
  <c r="C66" i="4"/>
  <c r="C67" i="4"/>
  <c r="C70" i="4"/>
  <c r="C71" i="4"/>
  <c r="C72" i="4"/>
  <c r="C73" i="4"/>
  <c r="C68" i="4"/>
  <c r="C69" i="4"/>
  <c r="C64" i="4"/>
  <c r="D69" i="1" l="1"/>
  <c r="G98" i="4"/>
  <c r="D98" i="4"/>
  <c r="D97" i="4"/>
  <c r="C122" i="1"/>
  <c r="F60" i="4"/>
  <c r="D60" i="4"/>
  <c r="D47" i="7" l="1"/>
  <c r="F46" i="7"/>
  <c r="H43" i="7"/>
  <c r="D43" i="7"/>
  <c r="D46" i="7" s="1"/>
  <c r="C41" i="7"/>
  <c r="D38" i="7"/>
  <c r="K37" i="7"/>
  <c r="J37" i="7"/>
  <c r="I37" i="7"/>
  <c r="H34" i="7"/>
  <c r="D34" i="7"/>
  <c r="D37" i="7" s="1"/>
  <c r="D33" i="7"/>
  <c r="D42" i="7" s="1"/>
  <c r="D28" i="7"/>
  <c r="H27" i="7"/>
  <c r="L26" i="7"/>
  <c r="K26" i="7"/>
  <c r="J26" i="7"/>
  <c r="I26" i="7"/>
  <c r="H19" i="7"/>
  <c r="D19" i="7"/>
  <c r="H17" i="7"/>
  <c r="D17" i="7"/>
  <c r="D27" i="7" s="1"/>
  <c r="D22" i="7" l="1"/>
  <c r="D24" i="6"/>
  <c r="F33" i="4" s="1"/>
  <c r="C24" i="6"/>
  <c r="E33" i="4" s="1"/>
  <c r="D64" i="4"/>
  <c r="D65" i="4"/>
  <c r="G93" i="4"/>
  <c r="C93" i="4"/>
  <c r="D93" i="4"/>
  <c r="C62" i="4"/>
  <c r="C63" i="4"/>
  <c r="D63" i="4"/>
  <c r="H33" i="4"/>
  <c r="G33" i="4"/>
  <c r="C34" i="4"/>
  <c r="C32" i="4"/>
  <c r="C9" i="6"/>
  <c r="B10" i="6"/>
  <c r="B9" i="6"/>
  <c r="W6" i="6"/>
  <c r="P6" i="6"/>
  <c r="G99" i="4"/>
  <c r="G100" i="4"/>
  <c r="R29" i="1"/>
  <c r="F57" i="4"/>
  <c r="F56" i="4"/>
  <c r="F55" i="4"/>
  <c r="E56" i="4"/>
  <c r="D56" i="4"/>
  <c r="D57" i="4"/>
  <c r="D58" i="4"/>
  <c r="D59" i="4"/>
  <c r="G56" i="4"/>
  <c r="I56" i="4"/>
  <c r="F53" i="4"/>
  <c r="F54" i="4"/>
  <c r="D55" i="4"/>
  <c r="D54" i="4"/>
  <c r="D53" i="4"/>
  <c r="D52" i="4"/>
  <c r="C53" i="4"/>
  <c r="C52" i="4"/>
  <c r="C55" i="4"/>
  <c r="C57" i="4"/>
  <c r="C58" i="4"/>
  <c r="C59" i="4"/>
  <c r="D47" i="4"/>
  <c r="E47" i="4"/>
  <c r="F47" i="4"/>
  <c r="G47" i="4"/>
  <c r="I47" i="4"/>
  <c r="D49" i="4"/>
  <c r="D50" i="4"/>
  <c r="C50" i="4"/>
  <c r="C51" i="4"/>
  <c r="C48" i="4"/>
  <c r="C49" i="4"/>
  <c r="C44" i="4"/>
  <c r="E44" i="4"/>
  <c r="D7" i="1"/>
  <c r="C22" i="1" s="1"/>
  <c r="C19" i="4" s="1"/>
  <c r="E112" i="1"/>
  <c r="E87" i="4" s="1"/>
  <c r="F111" i="1"/>
  <c r="F86" i="4" s="1"/>
  <c r="E17" i="1"/>
  <c r="H15" i="1" s="1"/>
  <c r="C33" i="1" s="1"/>
  <c r="C31" i="4" s="1"/>
  <c r="E18" i="1"/>
  <c r="F120" i="1" s="1"/>
  <c r="F95" i="4" s="1"/>
  <c r="E11" i="1"/>
  <c r="D24" i="1" s="1"/>
  <c r="D10" i="1"/>
  <c r="F11" i="1"/>
  <c r="D25" i="1" s="1"/>
  <c r="D8" i="1"/>
  <c r="E22" i="1" s="1"/>
  <c r="E9" i="1"/>
  <c r="E23" i="1" s="1"/>
  <c r="E110" i="1" s="1"/>
  <c r="E85" i="4" s="1"/>
  <c r="F9" i="1"/>
  <c r="F23" i="1" s="1"/>
  <c r="C83" i="4"/>
  <c r="D83" i="4"/>
  <c r="E83" i="4"/>
  <c r="F83" i="4"/>
  <c r="G83" i="4"/>
  <c r="O13" i="4"/>
  <c r="P13" i="4"/>
  <c r="Q13" i="4"/>
  <c r="R13" i="4"/>
  <c r="S13" i="4"/>
  <c r="T13" i="4"/>
  <c r="O14" i="4"/>
  <c r="P14" i="4"/>
  <c r="Q14" i="4"/>
  <c r="R14" i="4"/>
  <c r="S14" i="4"/>
  <c r="T14" i="4"/>
  <c r="S15" i="4"/>
  <c r="T15" i="4"/>
  <c r="S16" i="4"/>
  <c r="T16" i="4"/>
  <c r="S17" i="4"/>
  <c r="T17" i="4"/>
  <c r="T18" i="4"/>
  <c r="S19" i="4"/>
  <c r="T19" i="4"/>
  <c r="T20" i="4"/>
  <c r="S21" i="4"/>
  <c r="T21" i="4"/>
  <c r="S22" i="4"/>
  <c r="T22" i="4"/>
  <c r="S23" i="4"/>
  <c r="T23" i="4"/>
  <c r="S24" i="4"/>
  <c r="T24" i="4"/>
  <c r="T25" i="4"/>
  <c r="S26" i="4"/>
  <c r="T26" i="4"/>
  <c r="S27" i="4"/>
  <c r="T27" i="4"/>
  <c r="S28" i="4"/>
  <c r="T28" i="4"/>
  <c r="S30" i="4"/>
  <c r="T30" i="4"/>
  <c r="S33" i="4"/>
  <c r="T33" i="4"/>
  <c r="R34" i="4"/>
  <c r="S34" i="4"/>
  <c r="T34" i="4"/>
  <c r="R35" i="4"/>
  <c r="S35" i="4"/>
  <c r="T35" i="4"/>
  <c r="O37" i="4"/>
  <c r="P37" i="4"/>
  <c r="Q37" i="4"/>
  <c r="R37" i="4"/>
  <c r="T37" i="4"/>
  <c r="O38" i="4"/>
  <c r="P38" i="4"/>
  <c r="Q38" i="4"/>
  <c r="R38" i="4"/>
  <c r="S38" i="4"/>
  <c r="T38" i="4"/>
  <c r="O39" i="4"/>
  <c r="P39" i="4"/>
  <c r="Q39" i="4"/>
  <c r="R39" i="4"/>
  <c r="S39" i="4"/>
  <c r="T39" i="4"/>
  <c r="O40" i="4"/>
  <c r="P40" i="4"/>
  <c r="Q40" i="4"/>
  <c r="R40" i="4"/>
  <c r="S40" i="4"/>
  <c r="O41" i="4"/>
  <c r="P41" i="4"/>
  <c r="Q41" i="4"/>
  <c r="R41" i="4"/>
  <c r="O42" i="4"/>
  <c r="P42" i="4"/>
  <c r="Q42" i="4"/>
  <c r="R42" i="4"/>
  <c r="S42" i="4"/>
  <c r="O43" i="4"/>
  <c r="P43" i="4"/>
  <c r="Q43" i="4"/>
  <c r="R43" i="4"/>
  <c r="O44" i="4"/>
  <c r="P44" i="4"/>
  <c r="Q44" i="4"/>
  <c r="R44" i="4"/>
  <c r="S44" i="4"/>
  <c r="T44" i="4"/>
  <c r="S45" i="4"/>
  <c r="T45" i="4"/>
  <c r="S46" i="4"/>
  <c r="T46" i="4"/>
  <c r="S47" i="4"/>
  <c r="T47" i="4"/>
  <c r="S48" i="4"/>
  <c r="T48" i="4"/>
  <c r="S49" i="4"/>
  <c r="T49" i="4"/>
  <c r="S50" i="4"/>
  <c r="T50" i="4"/>
  <c r="P12" i="4"/>
  <c r="Q12" i="4"/>
  <c r="R12" i="4"/>
  <c r="S12" i="4"/>
  <c r="T12" i="4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A4" i="4"/>
  <c r="B4" i="4"/>
  <c r="C4" i="4"/>
  <c r="G4" i="4"/>
  <c r="H4" i="4"/>
  <c r="I4" i="4"/>
  <c r="J4" i="4"/>
  <c r="K4" i="4"/>
  <c r="L4" i="4"/>
  <c r="M4" i="4"/>
  <c r="N4" i="4"/>
  <c r="O4" i="4"/>
  <c r="A5" i="4"/>
  <c r="B5" i="4"/>
  <c r="C5" i="4"/>
  <c r="G5" i="4"/>
  <c r="H5" i="4"/>
  <c r="I5" i="4"/>
  <c r="J5" i="4"/>
  <c r="K5" i="4"/>
  <c r="L5" i="4"/>
  <c r="M5" i="4"/>
  <c r="N5" i="4"/>
  <c r="O5" i="4"/>
  <c r="A6" i="4"/>
  <c r="B6" i="4"/>
  <c r="C6" i="4"/>
  <c r="G6" i="4"/>
  <c r="H6" i="4"/>
  <c r="I6" i="4"/>
  <c r="J6" i="4"/>
  <c r="K6" i="4"/>
  <c r="L6" i="4"/>
  <c r="M6" i="4"/>
  <c r="N6" i="4"/>
  <c r="O6" i="4"/>
  <c r="A7" i="4"/>
  <c r="B7" i="4"/>
  <c r="C7" i="4"/>
  <c r="G7" i="4"/>
  <c r="H7" i="4"/>
  <c r="I7" i="4"/>
  <c r="J7" i="4"/>
  <c r="K7" i="4"/>
  <c r="L7" i="4"/>
  <c r="M7" i="4"/>
  <c r="N7" i="4"/>
  <c r="O7" i="4"/>
  <c r="A12" i="4"/>
  <c r="B12" i="4"/>
  <c r="C8" i="4"/>
  <c r="G12" i="4"/>
  <c r="H12" i="4"/>
  <c r="I12" i="4"/>
  <c r="J12" i="4"/>
  <c r="K12" i="4"/>
  <c r="L12" i="4"/>
  <c r="M12" i="4"/>
  <c r="N12" i="4"/>
  <c r="O12" i="4"/>
  <c r="A13" i="4"/>
  <c r="B13" i="4"/>
  <c r="H13" i="4"/>
  <c r="I13" i="4"/>
  <c r="J13" i="4"/>
  <c r="K13" i="4"/>
  <c r="L13" i="4"/>
  <c r="M13" i="4"/>
  <c r="N13" i="4"/>
  <c r="A14" i="4"/>
  <c r="B14" i="4"/>
  <c r="C14" i="4"/>
  <c r="J14" i="4"/>
  <c r="K14" i="4"/>
  <c r="L14" i="4"/>
  <c r="M14" i="4"/>
  <c r="N14" i="4"/>
  <c r="A15" i="4"/>
  <c r="B15" i="4"/>
  <c r="F15" i="4"/>
  <c r="J15" i="4"/>
  <c r="K15" i="4"/>
  <c r="A16" i="4"/>
  <c r="A17" i="4"/>
  <c r="B17" i="4"/>
  <c r="C17" i="4"/>
  <c r="D17" i="4"/>
  <c r="E17" i="4"/>
  <c r="F17" i="4"/>
  <c r="G17" i="4"/>
  <c r="H17" i="4"/>
  <c r="I17" i="4"/>
  <c r="J17" i="4"/>
  <c r="K17" i="4"/>
  <c r="A18" i="4"/>
  <c r="B18" i="4"/>
  <c r="C18" i="4"/>
  <c r="D18" i="4"/>
  <c r="E18" i="4"/>
  <c r="F18" i="4"/>
  <c r="G18" i="4"/>
  <c r="H18" i="4"/>
  <c r="I18" i="4"/>
  <c r="J18" i="4"/>
  <c r="K18" i="4"/>
  <c r="A19" i="4"/>
  <c r="B19" i="4"/>
  <c r="D19" i="4"/>
  <c r="I9" i="9" s="1"/>
  <c r="F19" i="4"/>
  <c r="G19" i="4"/>
  <c r="L9" i="9" s="1"/>
  <c r="H19" i="4"/>
  <c r="I19" i="4"/>
  <c r="J19" i="4"/>
  <c r="K19" i="4"/>
  <c r="A20" i="4"/>
  <c r="B20" i="4"/>
  <c r="C20" i="4"/>
  <c r="D20" i="4"/>
  <c r="I10" i="9" s="1"/>
  <c r="G20" i="4"/>
  <c r="L10" i="9" s="1"/>
  <c r="H20" i="4"/>
  <c r="I20" i="4"/>
  <c r="J20" i="4"/>
  <c r="K20" i="4"/>
  <c r="A21" i="4"/>
  <c r="B21" i="4"/>
  <c r="H21" i="4"/>
  <c r="A22" i="4"/>
  <c r="B22" i="4"/>
  <c r="C22" i="4"/>
  <c r="H22" i="4"/>
  <c r="A23" i="4"/>
  <c r="B23" i="4"/>
  <c r="C23" i="4"/>
  <c r="D23" i="4"/>
  <c r="I13" i="9" s="1"/>
  <c r="H23" i="4"/>
  <c r="I23" i="4"/>
  <c r="J23" i="4"/>
  <c r="K23" i="4"/>
  <c r="A24" i="4"/>
  <c r="B24" i="4"/>
  <c r="C24" i="4"/>
  <c r="D24" i="4"/>
  <c r="E24" i="4"/>
  <c r="F24" i="4"/>
  <c r="G24" i="4"/>
  <c r="H24" i="4"/>
  <c r="I24" i="4"/>
  <c r="J24" i="4"/>
  <c r="K24" i="4"/>
  <c r="A25" i="4"/>
  <c r="B25" i="4"/>
  <c r="C25" i="4"/>
  <c r="D25" i="4"/>
  <c r="E25" i="4"/>
  <c r="F25" i="4"/>
  <c r="G25" i="4"/>
  <c r="H25" i="4"/>
  <c r="I25" i="4"/>
  <c r="J25" i="4"/>
  <c r="K25" i="4"/>
  <c r="A26" i="4"/>
  <c r="B26" i="4"/>
  <c r="C26" i="4"/>
  <c r="D26" i="4"/>
  <c r="G26" i="4"/>
  <c r="H26" i="4"/>
  <c r="A27" i="4"/>
  <c r="B27" i="4"/>
  <c r="C27" i="4"/>
  <c r="D27" i="4"/>
  <c r="G27" i="4"/>
  <c r="H27" i="4"/>
  <c r="A28" i="4"/>
  <c r="B28" i="4"/>
  <c r="D28" i="4"/>
  <c r="G28" i="4"/>
  <c r="H28" i="4"/>
  <c r="A30" i="4"/>
  <c r="B30" i="4"/>
  <c r="D30" i="4"/>
  <c r="E30" i="4"/>
  <c r="F30" i="4"/>
  <c r="G30" i="4"/>
  <c r="H30" i="4"/>
  <c r="I30" i="4"/>
  <c r="J30" i="4"/>
  <c r="K30" i="4"/>
  <c r="A33" i="4"/>
  <c r="B31" i="4"/>
  <c r="E31" i="4"/>
  <c r="F31" i="4"/>
  <c r="G31" i="4"/>
  <c r="H31" i="4"/>
  <c r="I31" i="4"/>
  <c r="J31" i="4"/>
  <c r="K31" i="4"/>
  <c r="A34" i="4"/>
  <c r="L34" i="4"/>
  <c r="M34" i="4"/>
  <c r="N34" i="4"/>
  <c r="A35" i="4"/>
  <c r="B35" i="4"/>
  <c r="J35" i="4"/>
  <c r="K35" i="4"/>
  <c r="L35" i="4"/>
  <c r="M35" i="4"/>
  <c r="N35" i="4"/>
  <c r="A37" i="4"/>
  <c r="D37" i="4"/>
  <c r="E37" i="4"/>
  <c r="F37" i="4"/>
  <c r="G37" i="4"/>
  <c r="H37" i="4"/>
  <c r="I37" i="4"/>
  <c r="J37" i="4"/>
  <c r="L37" i="4"/>
  <c r="M37" i="4"/>
  <c r="N37" i="4"/>
  <c r="A38" i="4"/>
  <c r="B38" i="4"/>
  <c r="D38" i="4"/>
  <c r="L38" i="4"/>
  <c r="M38" i="4"/>
  <c r="N38" i="4"/>
  <c r="A39" i="4"/>
  <c r="B39" i="4"/>
  <c r="D39" i="4"/>
  <c r="L39" i="4"/>
  <c r="M39" i="4"/>
  <c r="N39" i="4"/>
  <c r="A40" i="4"/>
  <c r="B40" i="4"/>
  <c r="D40" i="4"/>
  <c r="L40" i="4"/>
  <c r="M40" i="4"/>
  <c r="N40" i="4"/>
  <c r="A41" i="4"/>
  <c r="B41" i="4"/>
  <c r="C41" i="4"/>
  <c r="D41" i="4"/>
  <c r="F41" i="4"/>
  <c r="G41" i="4"/>
  <c r="K41" i="4"/>
  <c r="L41" i="4"/>
  <c r="M41" i="4"/>
  <c r="N41" i="4"/>
  <c r="A42" i="4"/>
  <c r="B42" i="4"/>
  <c r="D42" i="4"/>
  <c r="G42" i="4"/>
  <c r="K42" i="4"/>
  <c r="L42" i="4"/>
  <c r="M42" i="4"/>
  <c r="N42" i="4"/>
  <c r="A43" i="4"/>
  <c r="B43" i="4"/>
  <c r="D43" i="4"/>
  <c r="G43" i="4"/>
  <c r="K43" i="4"/>
  <c r="L43" i="4"/>
  <c r="M43" i="4"/>
  <c r="N43" i="4"/>
  <c r="A44" i="4"/>
  <c r="B44" i="4"/>
  <c r="K44" i="4"/>
  <c r="L44" i="4"/>
  <c r="M44" i="4"/>
  <c r="N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A46" i="4"/>
  <c r="B46" i="4"/>
  <c r="C46" i="4"/>
  <c r="E46" i="4"/>
  <c r="F46" i="4"/>
  <c r="G46" i="4"/>
  <c r="H46" i="4"/>
  <c r="I46" i="4"/>
  <c r="J46" i="4"/>
  <c r="K46" i="4"/>
  <c r="M46" i="4"/>
  <c r="A47" i="4"/>
  <c r="B47" i="4"/>
  <c r="C47" i="4"/>
  <c r="K47" i="4"/>
  <c r="L47" i="4"/>
  <c r="M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2" i="4"/>
  <c r="A63" i="4"/>
  <c r="B63" i="4"/>
  <c r="A64" i="4"/>
  <c r="B64" i="4"/>
  <c r="A65" i="4"/>
  <c r="A66" i="4"/>
  <c r="B66" i="4"/>
  <c r="A67" i="4"/>
  <c r="B67" i="4"/>
  <c r="A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A81" i="4"/>
  <c r="B81" i="4"/>
  <c r="C81" i="4"/>
  <c r="I81" i="4"/>
  <c r="J81" i="4"/>
  <c r="K81" i="4"/>
  <c r="L81" i="4"/>
  <c r="M81" i="4"/>
  <c r="N81" i="4"/>
  <c r="O81" i="4"/>
  <c r="A82" i="4"/>
  <c r="B82" i="4"/>
  <c r="E82" i="4"/>
  <c r="F82" i="4"/>
  <c r="G82" i="4"/>
  <c r="H82" i="4"/>
  <c r="I82" i="4"/>
  <c r="J82" i="4"/>
  <c r="K82" i="4"/>
  <c r="L82" i="4"/>
  <c r="M82" i="4"/>
  <c r="N82" i="4"/>
  <c r="O82" i="4"/>
  <c r="A83" i="4"/>
  <c r="B83" i="4"/>
  <c r="H83" i="4"/>
  <c r="I83" i="4"/>
  <c r="J83" i="4"/>
  <c r="K83" i="4"/>
  <c r="L83" i="4"/>
  <c r="M83" i="4"/>
  <c r="N83" i="4"/>
  <c r="O83" i="4"/>
  <c r="A84" i="4"/>
  <c r="B84" i="4"/>
  <c r="H84" i="4"/>
  <c r="I84" i="4"/>
  <c r="J84" i="4"/>
  <c r="K84" i="4"/>
  <c r="L84" i="4"/>
  <c r="M84" i="4"/>
  <c r="N84" i="4"/>
  <c r="O84" i="4"/>
  <c r="A85" i="4"/>
  <c r="B85" i="4"/>
  <c r="H85" i="4"/>
  <c r="I85" i="4"/>
  <c r="J85" i="4"/>
  <c r="K85" i="4"/>
  <c r="L85" i="4"/>
  <c r="M85" i="4"/>
  <c r="N85" i="4"/>
  <c r="O85" i="4"/>
  <c r="A86" i="4"/>
  <c r="B86" i="4"/>
  <c r="H86" i="4"/>
  <c r="I86" i="4"/>
  <c r="J86" i="4"/>
  <c r="K86" i="4"/>
  <c r="L86" i="4"/>
  <c r="M86" i="4"/>
  <c r="N86" i="4"/>
  <c r="O86" i="4"/>
  <c r="A87" i="4"/>
  <c r="B87" i="4"/>
  <c r="H87" i="4"/>
  <c r="I87" i="4"/>
  <c r="J87" i="4"/>
  <c r="K87" i="4"/>
  <c r="L87" i="4"/>
  <c r="M87" i="4"/>
  <c r="N87" i="4"/>
  <c r="O87" i="4"/>
  <c r="A88" i="4"/>
  <c r="B88" i="4"/>
  <c r="H88" i="4"/>
  <c r="I88" i="4"/>
  <c r="J88" i="4"/>
  <c r="K88" i="4"/>
  <c r="L88" i="4"/>
  <c r="M88" i="4"/>
  <c r="N88" i="4"/>
  <c r="O88" i="4"/>
  <c r="A89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A90" i="4"/>
  <c r="B90" i="4"/>
  <c r="C90" i="4"/>
  <c r="E90" i="4"/>
  <c r="G90" i="4"/>
  <c r="H90" i="4"/>
  <c r="I90" i="4"/>
  <c r="J90" i="4"/>
  <c r="K90" i="4"/>
  <c r="L90" i="4"/>
  <c r="M90" i="4"/>
  <c r="N90" i="4"/>
  <c r="O90" i="4"/>
  <c r="A91" i="4"/>
  <c r="B91" i="4"/>
  <c r="F91" i="4"/>
  <c r="H91" i="4"/>
  <c r="I91" i="4"/>
  <c r="J91" i="4"/>
  <c r="K91" i="4"/>
  <c r="L91" i="4"/>
  <c r="M91" i="4"/>
  <c r="N91" i="4"/>
  <c r="O91" i="4"/>
  <c r="A92" i="4"/>
  <c r="B92" i="4"/>
  <c r="F92" i="4"/>
  <c r="G92" i="4"/>
  <c r="H92" i="4"/>
  <c r="I92" i="4"/>
  <c r="J92" i="4"/>
  <c r="K92" i="4"/>
  <c r="L92" i="4"/>
  <c r="M92" i="4"/>
  <c r="N92" i="4"/>
  <c r="O92" i="4"/>
  <c r="A95" i="4"/>
  <c r="B95" i="4"/>
  <c r="C95" i="4"/>
  <c r="D95" i="4"/>
  <c r="E95" i="4"/>
  <c r="G95" i="4"/>
  <c r="H95" i="4"/>
  <c r="J95" i="4"/>
  <c r="K95" i="4"/>
  <c r="L95" i="4"/>
  <c r="M95" i="4"/>
  <c r="N95" i="4"/>
  <c r="O95" i="4"/>
  <c r="A96" i="4"/>
  <c r="B96" i="4"/>
  <c r="C121" i="1"/>
  <c r="C96" i="4" s="1"/>
  <c r="G96" i="4"/>
  <c r="H96" i="4"/>
  <c r="A97" i="4"/>
  <c r="B97" i="4"/>
  <c r="C97" i="4"/>
  <c r="G97" i="4"/>
  <c r="A99" i="4"/>
  <c r="B99" i="4"/>
  <c r="C99" i="4"/>
  <c r="H99" i="4"/>
  <c r="A100" i="4"/>
  <c r="B100" i="4"/>
  <c r="C100" i="4"/>
  <c r="A101" i="4"/>
  <c r="B101" i="4"/>
  <c r="E101" i="4"/>
  <c r="F101" i="4"/>
  <c r="G101" i="4"/>
  <c r="H101" i="4"/>
  <c r="I101" i="4"/>
  <c r="A102" i="4"/>
  <c r="B102" i="4"/>
  <c r="D102" i="4"/>
  <c r="E102" i="4"/>
  <c r="F102" i="4"/>
  <c r="G102" i="4"/>
  <c r="H102" i="4"/>
  <c r="I102" i="4"/>
  <c r="A103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M1" i="4"/>
  <c r="N1" i="4"/>
  <c r="N8" i="1"/>
  <c r="C24" i="1" l="1"/>
  <c r="C21" i="4" s="1"/>
  <c r="V42" i="1"/>
  <c r="E54" i="1" s="1"/>
  <c r="I17" i="1"/>
  <c r="V67" i="1"/>
  <c r="R28" i="1"/>
  <c r="R33" i="1" s="1"/>
  <c r="C16" i="6"/>
  <c r="G6" i="6" s="1"/>
  <c r="B7" i="6"/>
  <c r="D5" i="6"/>
  <c r="Q28" i="1"/>
  <c r="Q33" i="1" s="1"/>
  <c r="G18" i="1"/>
  <c r="O23" i="1" s="1"/>
  <c r="Q23" i="1" s="1"/>
  <c r="N11" i="1"/>
  <c r="G25" i="1"/>
  <c r="G22" i="4" s="1"/>
  <c r="L12" i="9" s="1"/>
  <c r="M73" i="1"/>
  <c r="N10" i="1"/>
  <c r="H11" i="9"/>
  <c r="V69" i="1"/>
  <c r="F112" i="1"/>
  <c r="F87" i="4" s="1"/>
  <c r="F26" i="1"/>
  <c r="F113" i="1" s="1"/>
  <c r="F88" i="4" s="1"/>
  <c r="M74" i="1"/>
  <c r="U69" i="1"/>
  <c r="Q29" i="1"/>
  <c r="Q34" i="1" s="1"/>
  <c r="U21" i="1"/>
  <c r="S18" i="4" s="1"/>
  <c r="F110" i="1"/>
  <c r="F85" i="4" s="1"/>
  <c r="F20" i="4"/>
  <c r="K10" i="9" s="1"/>
  <c r="E109" i="1"/>
  <c r="E84" i="4" s="1"/>
  <c r="E19" i="4"/>
  <c r="J9" i="9" s="1"/>
  <c r="D21" i="4"/>
  <c r="I11" i="9" s="1"/>
  <c r="D111" i="1"/>
  <c r="D86" i="4" s="1"/>
  <c r="D112" i="1"/>
  <c r="D87" i="4" s="1"/>
  <c r="D22" i="4"/>
  <c r="I12" i="9" s="1"/>
  <c r="G24" i="1"/>
  <c r="D97" i="1" s="1"/>
  <c r="E26" i="1"/>
  <c r="E23" i="4" s="1"/>
  <c r="J13" i="9" s="1"/>
  <c r="E111" i="1"/>
  <c r="E86" i="4" s="1"/>
  <c r="E68" i="1"/>
  <c r="J68" i="1" s="1"/>
  <c r="E20" i="4"/>
  <c r="J10" i="9" s="1"/>
  <c r="N13" i="1"/>
  <c r="U67" i="1"/>
  <c r="N12" i="1"/>
  <c r="R34" i="1"/>
  <c r="C10" i="6"/>
  <c r="C8" i="6" s="1"/>
  <c r="C7" i="6"/>
  <c r="D6" i="6"/>
  <c r="C111" i="1" l="1"/>
  <c r="C86" i="4" s="1"/>
  <c r="J17" i="1"/>
  <c r="H15" i="9" s="1"/>
  <c r="C126" i="1"/>
  <c r="C101" i="4" s="1"/>
  <c r="T41" i="4"/>
  <c r="E81" i="1"/>
  <c r="E68" i="4" s="1"/>
  <c r="V41" i="1"/>
  <c r="I60" i="1" s="1"/>
  <c r="J57" i="4" s="1"/>
  <c r="D125" i="1"/>
  <c r="G15" i="4"/>
  <c r="R30" i="1"/>
  <c r="Q6" i="6"/>
  <c r="S28" i="1"/>
  <c r="D98" i="1" s="1"/>
  <c r="C13" i="6"/>
  <c r="R7" i="6" s="1"/>
  <c r="R8" i="6" s="1"/>
  <c r="Q8" i="6" s="1"/>
  <c r="R23" i="1"/>
  <c r="S23" i="1" s="1"/>
  <c r="R24" i="1"/>
  <c r="U28" i="1"/>
  <c r="S25" i="4" s="1"/>
  <c r="S29" i="1"/>
  <c r="Q24" i="1"/>
  <c r="Q25" i="1" s="1"/>
  <c r="D70" i="4"/>
  <c r="Q30" i="1"/>
  <c r="I25" i="1"/>
  <c r="I22" i="4" s="1"/>
  <c r="S35" i="1"/>
  <c r="S36" i="1" s="1"/>
  <c r="L69" i="1" s="1"/>
  <c r="M69" i="1" s="1"/>
  <c r="F30" i="1"/>
  <c r="F27" i="4" s="1"/>
  <c r="F29" i="1"/>
  <c r="F26" i="4" s="1"/>
  <c r="G112" i="1"/>
  <c r="G87" i="4" s="1"/>
  <c r="K60" i="1"/>
  <c r="L60" i="1" s="1"/>
  <c r="E50" i="1"/>
  <c r="E51" i="1" s="1"/>
  <c r="F50" i="1"/>
  <c r="F49" i="4" s="1"/>
  <c r="E55" i="1"/>
  <c r="E53" i="4" s="1"/>
  <c r="E30" i="1"/>
  <c r="E27" i="4" s="1"/>
  <c r="J25" i="1"/>
  <c r="J22" i="4" s="1"/>
  <c r="F23" i="4"/>
  <c r="K13" i="9" s="1"/>
  <c r="E69" i="1"/>
  <c r="J69" i="1" s="1"/>
  <c r="T67" i="1"/>
  <c r="U70" i="1" s="1"/>
  <c r="T68" i="1" s="1"/>
  <c r="G26" i="1"/>
  <c r="G113" i="1" s="1"/>
  <c r="G88" i="4" s="1"/>
  <c r="E124" i="1"/>
  <c r="D93" i="1"/>
  <c r="E29" i="1"/>
  <c r="E26" i="4" s="1"/>
  <c r="M40" i="1"/>
  <c r="E113" i="1"/>
  <c r="E88" i="4" s="1"/>
  <c r="G21" i="4"/>
  <c r="E7" i="9" s="1"/>
  <c r="M12" i="9" s="1"/>
  <c r="J24" i="1"/>
  <c r="G111" i="1"/>
  <c r="G86" i="4" s="1"/>
  <c r="M41" i="1"/>
  <c r="M97" i="1"/>
  <c r="E82" i="1"/>
  <c r="E69" i="4" s="1"/>
  <c r="I24" i="1"/>
  <c r="I21" i="4" s="1"/>
  <c r="E63" i="4"/>
  <c r="R67" i="1"/>
  <c r="D7" i="6"/>
  <c r="C30" i="6" s="1"/>
  <c r="C17" i="6" s="1"/>
  <c r="C12" i="6"/>
  <c r="H7" i="6" s="1"/>
  <c r="T40" i="4" l="1"/>
  <c r="E83" i="1"/>
  <c r="E70" i="4" s="1"/>
  <c r="H125" i="1"/>
  <c r="H100" i="4" s="1"/>
  <c r="U42" i="1"/>
  <c r="F17" i="1" s="1"/>
  <c r="I58" i="1"/>
  <c r="I50" i="1"/>
  <c r="J49" i="4" s="1"/>
  <c r="I56" i="1"/>
  <c r="J54" i="4" s="1"/>
  <c r="I51" i="1"/>
  <c r="J50" i="4" s="1"/>
  <c r="I52" i="1"/>
  <c r="H9" i="7"/>
  <c r="I83" i="1"/>
  <c r="J70" i="4" s="1"/>
  <c r="H122" i="1"/>
  <c r="H97" i="4" s="1"/>
  <c r="I84" i="1"/>
  <c r="J71" i="4" s="1"/>
  <c r="I55" i="1"/>
  <c r="J53" i="4" s="1"/>
  <c r="I63" i="1"/>
  <c r="J60" i="4" s="1"/>
  <c r="I57" i="1"/>
  <c r="J55" i="4" s="1"/>
  <c r="I62" i="1"/>
  <c r="J59" i="4" s="1"/>
  <c r="I82" i="1"/>
  <c r="J69" i="4" s="1"/>
  <c r="I61" i="1"/>
  <c r="J58" i="4" s="1"/>
  <c r="K14" i="9"/>
  <c r="J14" i="9"/>
  <c r="E9" i="10"/>
  <c r="E80" i="10" s="1"/>
  <c r="L11" i="9"/>
  <c r="M11" i="9" s="1"/>
  <c r="F61" i="1"/>
  <c r="S24" i="1"/>
  <c r="S25" i="1" s="1"/>
  <c r="R25" i="1"/>
  <c r="E52" i="1" s="1"/>
  <c r="E50" i="4" s="1"/>
  <c r="U23" i="1"/>
  <c r="S20" i="4" s="1"/>
  <c r="R9" i="6"/>
  <c r="R10" i="6" s="1"/>
  <c r="S30" i="1"/>
  <c r="N14" i="1"/>
  <c r="Q7" i="6"/>
  <c r="T7" i="6" s="1"/>
  <c r="E99" i="4"/>
  <c r="E122" i="1"/>
  <c r="E97" i="4" s="1"/>
  <c r="E84" i="1"/>
  <c r="E71" i="4" s="1"/>
  <c r="M98" i="1"/>
  <c r="E56" i="1"/>
  <c r="E54" i="4" s="1"/>
  <c r="E35" i="1"/>
  <c r="E121" i="1"/>
  <c r="E96" i="4" s="1"/>
  <c r="K56" i="1"/>
  <c r="L56" i="1" s="1"/>
  <c r="H55" i="1" s="1"/>
  <c r="H53" i="4" s="1"/>
  <c r="K61" i="1"/>
  <c r="L61" i="1" s="1"/>
  <c r="E49" i="4"/>
  <c r="C41" i="1"/>
  <c r="C40" i="4" s="1"/>
  <c r="D94" i="1"/>
  <c r="E64" i="4"/>
  <c r="J58" i="1"/>
  <c r="M58" i="1" s="1"/>
  <c r="K25" i="1"/>
  <c r="K22" i="4" s="1"/>
  <c r="F31" i="1"/>
  <c r="F28" i="4" s="1"/>
  <c r="E60" i="1"/>
  <c r="E61" i="1" s="1"/>
  <c r="R50" i="1"/>
  <c r="C43" i="1"/>
  <c r="F43" i="1" s="1"/>
  <c r="G50" i="1"/>
  <c r="G23" i="4"/>
  <c r="E6" i="9" s="1"/>
  <c r="C44" i="1"/>
  <c r="F44" i="1" s="1"/>
  <c r="F43" i="4" s="1"/>
  <c r="C39" i="1"/>
  <c r="C38" i="4" s="1"/>
  <c r="G68" i="1"/>
  <c r="G63" i="4" s="1"/>
  <c r="G69" i="1"/>
  <c r="I94" i="1" s="1"/>
  <c r="H68" i="1"/>
  <c r="H63" i="4" s="1"/>
  <c r="H69" i="1"/>
  <c r="J29" i="1"/>
  <c r="J26" i="4" s="1"/>
  <c r="V43" i="1"/>
  <c r="T42" i="4" s="1"/>
  <c r="I30" i="1"/>
  <c r="I27" i="4" s="1"/>
  <c r="E31" i="1"/>
  <c r="E28" i="4" s="1"/>
  <c r="J30" i="1"/>
  <c r="J27" i="4" s="1"/>
  <c r="H50" i="1"/>
  <c r="H49" i="4" s="1"/>
  <c r="V44" i="1"/>
  <c r="T43" i="4" s="1"/>
  <c r="I29" i="1"/>
  <c r="I26" i="4" s="1"/>
  <c r="C40" i="1"/>
  <c r="C39" i="4" s="1"/>
  <c r="G8" i="7"/>
  <c r="L24" i="7" s="1"/>
  <c r="E9" i="7"/>
  <c r="F9" i="7"/>
  <c r="K25" i="7" s="1"/>
  <c r="F11" i="7"/>
  <c r="I12" i="7"/>
  <c r="G7" i="7"/>
  <c r="I13" i="7" s="1"/>
  <c r="T69" i="1"/>
  <c r="R69" i="1" s="1"/>
  <c r="H70" i="1" s="1"/>
  <c r="H65" i="4" s="1"/>
  <c r="Q84" i="1"/>
  <c r="U84" i="1"/>
  <c r="N89" i="1"/>
  <c r="J21" i="4"/>
  <c r="K24" i="1"/>
  <c r="K21" i="4" s="1"/>
  <c r="E70" i="1"/>
  <c r="E65" i="4" s="1"/>
  <c r="R68" i="1"/>
  <c r="Q88" i="1"/>
  <c r="E125" i="1"/>
  <c r="E100" i="4" s="1"/>
  <c r="O97" i="1"/>
  <c r="Q97" i="1" s="1"/>
  <c r="I97" i="1" s="1"/>
  <c r="N97" i="1"/>
  <c r="P97" i="1" s="1"/>
  <c r="J97" i="1" s="1"/>
  <c r="G7" i="6"/>
  <c r="H8" i="6"/>
  <c r="C29" i="6"/>
  <c r="C14" i="6"/>
  <c r="C15" i="6" s="1"/>
  <c r="U8" i="6"/>
  <c r="S8" i="6"/>
  <c r="T8" i="6"/>
  <c r="S41" i="4" l="1"/>
  <c r="C107" i="1"/>
  <c r="C82" i="4" s="1"/>
  <c r="H8" i="9" s="1"/>
  <c r="H61" i="1"/>
  <c r="H58" i="4" s="1"/>
  <c r="J9" i="10"/>
  <c r="D97" i="10"/>
  <c r="E85" i="10"/>
  <c r="E84" i="10"/>
  <c r="F79" i="10"/>
  <c r="E8" i="10"/>
  <c r="E10" i="10" s="1"/>
  <c r="L13" i="9"/>
  <c r="F51" i="1"/>
  <c r="H51" i="1" s="1"/>
  <c r="B7" i="8"/>
  <c r="C7" i="8" s="1"/>
  <c r="G116" i="1"/>
  <c r="G91" i="4" s="1"/>
  <c r="T50" i="1"/>
  <c r="R49" i="1"/>
  <c r="R48" i="1"/>
  <c r="E63" i="1" s="1"/>
  <c r="E123" i="1" s="1"/>
  <c r="S50" i="1"/>
  <c r="E57" i="1"/>
  <c r="E55" i="4" s="1"/>
  <c r="K62" i="1"/>
  <c r="L62" i="1" s="1"/>
  <c r="K57" i="1"/>
  <c r="K58" i="1" s="1"/>
  <c r="F62" i="1"/>
  <c r="J62" i="1" s="1"/>
  <c r="Q9" i="6"/>
  <c r="S9" i="6" s="1"/>
  <c r="S7" i="6"/>
  <c r="U7" i="6"/>
  <c r="O98" i="1"/>
  <c r="Q98" i="1" s="1"/>
  <c r="I98" i="1" s="1"/>
  <c r="G84" i="1" s="1"/>
  <c r="N98" i="1"/>
  <c r="P98" i="1" s="1"/>
  <c r="J98" i="1" s="1"/>
  <c r="H84" i="1" s="1"/>
  <c r="I71" i="4" s="1"/>
  <c r="G61" i="1"/>
  <c r="G58" i="4" s="1"/>
  <c r="H83" i="1"/>
  <c r="I70" i="4" s="1"/>
  <c r="G83" i="1"/>
  <c r="G70" i="4" s="1"/>
  <c r="G56" i="1"/>
  <c r="G54" i="4" s="1"/>
  <c r="F44" i="4"/>
  <c r="H56" i="1"/>
  <c r="H54" i="4" s="1"/>
  <c r="D116" i="1"/>
  <c r="D91" i="4" s="1"/>
  <c r="K30" i="1"/>
  <c r="K27" i="4" s="1"/>
  <c r="G64" i="4"/>
  <c r="G55" i="1"/>
  <c r="F124" i="1"/>
  <c r="F41" i="1"/>
  <c r="U38" i="1" s="1"/>
  <c r="G49" i="4"/>
  <c r="B5" i="8" s="1"/>
  <c r="C5" i="8" s="1"/>
  <c r="F121" i="1"/>
  <c r="F96" i="4" s="1"/>
  <c r="I31" i="1"/>
  <c r="I28" i="4" s="1"/>
  <c r="K29" i="1"/>
  <c r="K26" i="4" s="1"/>
  <c r="H64" i="4"/>
  <c r="J94" i="1"/>
  <c r="C43" i="4"/>
  <c r="C42" i="4"/>
  <c r="R89" i="1"/>
  <c r="J31" i="1"/>
  <c r="J28" i="4" s="1"/>
  <c r="F40" i="1"/>
  <c r="U37" i="1" s="1"/>
  <c r="G40" i="1" s="1"/>
  <c r="G39" i="4" s="1"/>
  <c r="U44" i="1"/>
  <c r="S43" i="4" s="1"/>
  <c r="D117" i="1"/>
  <c r="D92" i="4" s="1"/>
  <c r="K31" i="1"/>
  <c r="K28" i="4" s="1"/>
  <c r="G60" i="1"/>
  <c r="G57" i="4" s="1"/>
  <c r="H60" i="1"/>
  <c r="H57" i="4" s="1"/>
  <c r="E57" i="4"/>
  <c r="Q89" i="1"/>
  <c r="F39" i="1"/>
  <c r="F38" i="4" s="1"/>
  <c r="F13" i="7"/>
  <c r="L23" i="7"/>
  <c r="G9" i="7"/>
  <c r="E24" i="7" s="1"/>
  <c r="F24" i="7" s="1"/>
  <c r="F34" i="7"/>
  <c r="F37" i="7" s="1"/>
  <c r="F12" i="7"/>
  <c r="D15" i="7"/>
  <c r="D41" i="7" s="1"/>
  <c r="Q7" i="7"/>
  <c r="D32" i="7" s="1"/>
  <c r="J25" i="7"/>
  <c r="Q85" i="1"/>
  <c r="Q86" i="1" s="1"/>
  <c r="Q87" i="1" s="1"/>
  <c r="G70" i="1"/>
  <c r="G65" i="4" s="1"/>
  <c r="O70" i="1"/>
  <c r="C127" i="1" s="1"/>
  <c r="C102" i="4" s="1"/>
  <c r="R85" i="1"/>
  <c r="R86" i="1" s="1"/>
  <c r="R87" i="1" s="1"/>
  <c r="E62" i="1"/>
  <c r="E59" i="4" s="1"/>
  <c r="E58" i="4"/>
  <c r="E117" i="1"/>
  <c r="E92" i="4" s="1"/>
  <c r="F42" i="4"/>
  <c r="D15" i="6"/>
  <c r="G8" i="6"/>
  <c r="H9" i="6"/>
  <c r="K7" i="6"/>
  <c r="I7" i="6"/>
  <c r="J7" i="6"/>
  <c r="V8" i="6"/>
  <c r="Q10" i="6"/>
  <c r="R11" i="6"/>
  <c r="I9" i="10" l="1"/>
  <c r="G85" i="10"/>
  <c r="E97" i="10"/>
  <c r="F80" i="10"/>
  <c r="G80" i="10" s="1"/>
  <c r="K77" i="10" s="1"/>
  <c r="K80" i="10" s="1"/>
  <c r="F26" i="10" s="1"/>
  <c r="N9" i="10" s="1"/>
  <c r="S27" i="10"/>
  <c r="O27" i="10" s="1"/>
  <c r="H23" i="9" s="1"/>
  <c r="R9" i="10"/>
  <c r="E47" i="10" s="1"/>
  <c r="E34" i="9" s="1"/>
  <c r="S26" i="10"/>
  <c r="O26" i="10" s="1"/>
  <c r="H22" i="9" s="1"/>
  <c r="E79" i="10"/>
  <c r="G79" i="10" s="1"/>
  <c r="J77" i="10" s="1"/>
  <c r="J80" i="10" s="1"/>
  <c r="F25" i="10" s="1"/>
  <c r="S12" i="10" s="1"/>
  <c r="J79" i="10"/>
  <c r="K78" i="10" s="1"/>
  <c r="D84" i="10"/>
  <c r="D85" i="10" s="1"/>
  <c r="F97" i="10"/>
  <c r="H97" i="10" s="1"/>
  <c r="G84" i="10"/>
  <c r="H84" i="10" s="1"/>
  <c r="L26" i="10" s="1"/>
  <c r="E18" i="10"/>
  <c r="F18" i="10" s="1"/>
  <c r="F14" i="9" s="1"/>
  <c r="G91" i="10"/>
  <c r="T9" i="6"/>
  <c r="E8" i="9"/>
  <c r="G51" i="1"/>
  <c r="F52" i="1"/>
  <c r="F50" i="4" s="1"/>
  <c r="G62" i="1"/>
  <c r="G59" i="4" s="1"/>
  <c r="U9" i="6"/>
  <c r="F35" i="1"/>
  <c r="G35" i="1" s="1"/>
  <c r="H44" i="4" s="1"/>
  <c r="R51" i="1"/>
  <c r="T49" i="1"/>
  <c r="H62" i="1"/>
  <c r="H59" i="4" s="1"/>
  <c r="L57" i="1"/>
  <c r="L58" i="1" s="1"/>
  <c r="H58" i="1" s="1"/>
  <c r="J57" i="1"/>
  <c r="V7" i="6"/>
  <c r="W7" i="6" s="1"/>
  <c r="W8" i="6" s="1"/>
  <c r="X8" i="6" s="1"/>
  <c r="F99" i="4"/>
  <c r="F122" i="1"/>
  <c r="F97" i="4" s="1"/>
  <c r="G24" i="7"/>
  <c r="G71" i="4"/>
  <c r="G53" i="4"/>
  <c r="B6" i="8" s="1"/>
  <c r="C6" i="8" s="1"/>
  <c r="F40" i="4"/>
  <c r="E116" i="1"/>
  <c r="E91" i="4" s="1"/>
  <c r="G4" i="8" s="1"/>
  <c r="B4" i="8" s="1"/>
  <c r="C4" i="8" s="1"/>
  <c r="F39" i="4"/>
  <c r="H82" i="1"/>
  <c r="I69" i="4" s="1"/>
  <c r="G82" i="1"/>
  <c r="G69" i="4" s="1"/>
  <c r="U36" i="1"/>
  <c r="G39" i="1" s="1"/>
  <c r="G38" i="4" s="1"/>
  <c r="S37" i="4"/>
  <c r="G41" i="1"/>
  <c r="G40" i="4" s="1"/>
  <c r="E34" i="7"/>
  <c r="G34" i="7" s="1"/>
  <c r="G37" i="7" s="1"/>
  <c r="E43" i="7"/>
  <c r="G43" i="7" s="1"/>
  <c r="G46" i="7" s="1"/>
  <c r="H24" i="7"/>
  <c r="I11" i="7"/>
  <c r="L46" i="7" s="1"/>
  <c r="L25" i="7"/>
  <c r="F17" i="7"/>
  <c r="E17" i="7" s="1"/>
  <c r="E60" i="4"/>
  <c r="E98" i="4"/>
  <c r="J75" i="1"/>
  <c r="J8" i="6"/>
  <c r="K8" i="6"/>
  <c r="I8" i="6"/>
  <c r="L7" i="6"/>
  <c r="M7" i="6" s="1"/>
  <c r="G9" i="6"/>
  <c r="H10" i="6"/>
  <c r="T10" i="6"/>
  <c r="S10" i="6"/>
  <c r="U10" i="6"/>
  <c r="Q11" i="6"/>
  <c r="R12" i="6"/>
  <c r="H52" i="1" l="1"/>
  <c r="H50" i="4" s="1"/>
  <c r="I84" i="10"/>
  <c r="I85" i="10" s="1"/>
  <c r="V9" i="6"/>
  <c r="R9" i="9"/>
  <c r="F31" i="10"/>
  <c r="E52" i="10"/>
  <c r="E39" i="9" s="1"/>
  <c r="E14" i="9"/>
  <c r="E19" i="10"/>
  <c r="K30" i="10" s="1"/>
  <c r="N29" i="10" s="1"/>
  <c r="R29" i="10" s="1"/>
  <c r="F27" i="10"/>
  <c r="L9" i="10" s="1"/>
  <c r="M25" i="10"/>
  <c r="F21" i="9" s="1"/>
  <c r="H85" i="10"/>
  <c r="G25" i="10"/>
  <c r="P25" i="10" s="1"/>
  <c r="I21" i="9" s="1"/>
  <c r="G26" i="10"/>
  <c r="Q25" i="10" s="1"/>
  <c r="J21" i="9" s="1"/>
  <c r="I97" i="10"/>
  <c r="N28" i="10" s="1"/>
  <c r="S11" i="10"/>
  <c r="M9" i="10"/>
  <c r="L25" i="10"/>
  <c r="E21" i="9" s="1"/>
  <c r="K9" i="10"/>
  <c r="D91" i="10"/>
  <c r="E22" i="9"/>
  <c r="D103" i="10"/>
  <c r="P26" i="10"/>
  <c r="I22" i="9" s="1"/>
  <c r="G52" i="1"/>
  <c r="G50" i="4" s="1"/>
  <c r="B8" i="8"/>
  <c r="G44" i="4"/>
  <c r="B3" i="8" s="1"/>
  <c r="C3" i="8" s="1"/>
  <c r="D3" i="8" s="1"/>
  <c r="D4" i="8" s="1"/>
  <c r="D5" i="8" s="1"/>
  <c r="D6" i="8" s="1"/>
  <c r="D7" i="8" s="1"/>
  <c r="D8" i="8" s="1"/>
  <c r="D9" i="8" s="1"/>
  <c r="D10" i="8" s="1"/>
  <c r="D11" i="8" s="1"/>
  <c r="B14" i="8" s="1"/>
  <c r="R52" i="1"/>
  <c r="G63" i="1" s="1"/>
  <c r="G60" i="4" s="1"/>
  <c r="R53" i="1"/>
  <c r="H63" i="1" s="1"/>
  <c r="H60" i="4" s="1"/>
  <c r="G58" i="1"/>
  <c r="M57" i="1"/>
  <c r="G57" i="1" s="1"/>
  <c r="G55" i="4" s="1"/>
  <c r="H57" i="1"/>
  <c r="H55" i="4" s="1"/>
  <c r="X7" i="6"/>
  <c r="W9" i="6"/>
  <c r="X9" i="6" s="1"/>
  <c r="F125" i="1"/>
  <c r="F100" i="4" s="1"/>
  <c r="J23" i="7"/>
  <c r="K23" i="7" s="1"/>
  <c r="K24" i="7" s="1"/>
  <c r="I24" i="7"/>
  <c r="L27" i="7" s="1"/>
  <c r="E37" i="7"/>
  <c r="E46" i="7"/>
  <c r="L19" i="7"/>
  <c r="E44" i="7"/>
  <c r="G44" i="7" s="1"/>
  <c r="G47" i="7" s="1"/>
  <c r="E35" i="7"/>
  <c r="G35" i="7" s="1"/>
  <c r="G38" i="7" s="1"/>
  <c r="L17" i="7"/>
  <c r="L34" i="7"/>
  <c r="L37" i="7" s="1"/>
  <c r="L43" i="7"/>
  <c r="F27" i="7"/>
  <c r="F22" i="7"/>
  <c r="L8" i="6"/>
  <c r="M8" i="6" s="1"/>
  <c r="N8" i="6" s="1"/>
  <c r="V10" i="6"/>
  <c r="Y7" i="6"/>
  <c r="Y8" i="6" s="1"/>
  <c r="Y9" i="6" s="1"/>
  <c r="O7" i="6"/>
  <c r="H11" i="6"/>
  <c r="G10" i="6"/>
  <c r="K9" i="6"/>
  <c r="I9" i="6"/>
  <c r="J9" i="6"/>
  <c r="N7" i="6"/>
  <c r="R13" i="6"/>
  <c r="Q12" i="6"/>
  <c r="T11" i="6"/>
  <c r="S11" i="6"/>
  <c r="U11" i="6"/>
  <c r="F87" i="10" l="1"/>
  <c r="E87" i="10" s="1"/>
  <c r="N26" i="10" s="1"/>
  <c r="R26" i="10" s="1"/>
  <c r="K22" i="9" s="1"/>
  <c r="M26" i="10"/>
  <c r="F22" i="9" s="1"/>
  <c r="N25" i="10"/>
  <c r="G21" i="9" s="1"/>
  <c r="E53" i="10"/>
  <c r="E40" i="9" s="1"/>
  <c r="L29" i="10"/>
  <c r="P29" i="10" s="1"/>
  <c r="F91" i="10"/>
  <c r="H90" i="10" s="1"/>
  <c r="F19" i="10"/>
  <c r="F15" i="9" s="1"/>
  <c r="M29" i="10"/>
  <c r="Q29" i="10" s="1"/>
  <c r="G27" i="10"/>
  <c r="R25" i="10" s="1"/>
  <c r="K21" i="9" s="1"/>
  <c r="J97" i="10"/>
  <c r="L28" i="10" s="1"/>
  <c r="E24" i="9" s="1"/>
  <c r="E15" i="9"/>
  <c r="K97" i="10"/>
  <c r="M28" i="10" s="1"/>
  <c r="Q28" i="10" s="1"/>
  <c r="J24" i="9" s="1"/>
  <c r="G24" i="9"/>
  <c r="R28" i="10"/>
  <c r="K24" i="9" s="1"/>
  <c r="F123" i="1"/>
  <c r="F98" i="4" s="1"/>
  <c r="J24" i="7"/>
  <c r="E27" i="7" s="1"/>
  <c r="E28" i="7" s="1"/>
  <c r="G28" i="7" s="1"/>
  <c r="W10" i="6"/>
  <c r="X10" i="6" s="1"/>
  <c r="E47" i="7"/>
  <c r="E38" i="7"/>
  <c r="E22" i="7"/>
  <c r="E18" i="7"/>
  <c r="G18" i="7" s="1"/>
  <c r="G17" i="7"/>
  <c r="E19" i="7"/>
  <c r="L9" i="6"/>
  <c r="M9" i="6" s="1"/>
  <c r="N9" i="6" s="1"/>
  <c r="O8" i="6"/>
  <c r="I10" i="6"/>
  <c r="J10" i="6"/>
  <c r="K10" i="6"/>
  <c r="G11" i="6"/>
  <c r="H12" i="6"/>
  <c r="V11" i="6"/>
  <c r="U12" i="6"/>
  <c r="S12" i="6"/>
  <c r="T12" i="6"/>
  <c r="Q13" i="6"/>
  <c r="R14" i="6"/>
  <c r="G22" i="9" l="1"/>
  <c r="E103" i="10"/>
  <c r="Q26" i="10"/>
  <c r="J22" i="9" s="1"/>
  <c r="F24" i="9"/>
  <c r="P28" i="10"/>
  <c r="I24" i="9" s="1"/>
  <c r="I90" i="10"/>
  <c r="F33" i="10" s="1"/>
  <c r="F32" i="10"/>
  <c r="L27" i="10"/>
  <c r="H91" i="10"/>
  <c r="Y10" i="6"/>
  <c r="W11" i="6"/>
  <c r="G27" i="7"/>
  <c r="G29" i="7" s="1"/>
  <c r="G22" i="7"/>
  <c r="G19" i="7"/>
  <c r="E20" i="7"/>
  <c r="G20" i="7" s="1"/>
  <c r="V12" i="6"/>
  <c r="O9" i="6"/>
  <c r="L10" i="6"/>
  <c r="M10" i="6" s="1"/>
  <c r="N10" i="6" s="1"/>
  <c r="J11" i="6"/>
  <c r="I11" i="6"/>
  <c r="K11" i="6"/>
  <c r="G12" i="6"/>
  <c r="H13" i="6"/>
  <c r="Q14" i="6"/>
  <c r="R15" i="6"/>
  <c r="T13" i="6"/>
  <c r="S13" i="6"/>
  <c r="U13" i="6"/>
  <c r="I91" i="10" l="1"/>
  <c r="F93" i="10"/>
  <c r="E93" i="10" s="1"/>
  <c r="N27" i="10" s="1"/>
  <c r="R27" i="10" s="1"/>
  <c r="K23" i="9" s="1"/>
  <c r="M27" i="10"/>
  <c r="F23" i="9" s="1"/>
  <c r="E105" i="10"/>
  <c r="F34" i="10"/>
  <c r="G34" i="10" s="1"/>
  <c r="G33" i="10"/>
  <c r="P27" i="10"/>
  <c r="I23" i="9" s="1"/>
  <c r="E23" i="9"/>
  <c r="D105" i="10"/>
  <c r="G32" i="10"/>
  <c r="Y11" i="6"/>
  <c r="X11" i="6"/>
  <c r="W12" i="6"/>
  <c r="L11" i="6"/>
  <c r="M11" i="6" s="1"/>
  <c r="N11" i="6" s="1"/>
  <c r="V13" i="6"/>
  <c r="O10" i="6"/>
  <c r="J12" i="6"/>
  <c r="K12" i="6"/>
  <c r="I12" i="6"/>
  <c r="G13" i="6"/>
  <c r="H14" i="6"/>
  <c r="R16" i="6"/>
  <c r="Q15" i="6"/>
  <c r="U14" i="6"/>
  <c r="T14" i="6"/>
  <c r="S14" i="6"/>
  <c r="G23" i="9" l="1"/>
  <c r="Q27" i="10"/>
  <c r="J23" i="9" s="1"/>
  <c r="E110" i="10"/>
  <c r="F110" i="10" s="1"/>
  <c r="E108" i="10"/>
  <c r="F108" i="10" s="1"/>
  <c r="E109" i="10"/>
  <c r="F109" i="10" s="1"/>
  <c r="Y12" i="6"/>
  <c r="X12" i="6"/>
  <c r="W13" i="6"/>
  <c r="V14" i="6"/>
  <c r="L12" i="6"/>
  <c r="M12" i="6" s="1"/>
  <c r="N12" i="6" s="1"/>
  <c r="O11" i="6"/>
  <c r="G14" i="6"/>
  <c r="H15" i="6"/>
  <c r="I13" i="6"/>
  <c r="K13" i="6"/>
  <c r="J13" i="6"/>
  <c r="T15" i="6"/>
  <c r="S15" i="6"/>
  <c r="U15" i="6"/>
  <c r="R17" i="6"/>
  <c r="Q16" i="6"/>
  <c r="F111" i="10" l="1"/>
  <c r="Y13" i="6"/>
  <c r="W14" i="6"/>
  <c r="X13" i="6"/>
  <c r="O12" i="6"/>
  <c r="V15" i="6"/>
  <c r="L13" i="6"/>
  <c r="M13" i="6" s="1"/>
  <c r="N13" i="6" s="1"/>
  <c r="H16" i="6"/>
  <c r="G15" i="6"/>
  <c r="K14" i="6"/>
  <c r="I14" i="6"/>
  <c r="J14" i="6"/>
  <c r="R18" i="6"/>
  <c r="Q17" i="6"/>
  <c r="U16" i="6"/>
  <c r="T16" i="6"/>
  <c r="S16" i="6"/>
  <c r="F112" i="10" l="1"/>
  <c r="F44" i="10"/>
  <c r="F31" i="9" s="1"/>
  <c r="G44" i="10"/>
  <c r="I44" i="10"/>
  <c r="Y14" i="6"/>
  <c r="X14" i="6"/>
  <c r="W15" i="6"/>
  <c r="V16" i="6"/>
  <c r="L14" i="6"/>
  <c r="M14" i="6" s="1"/>
  <c r="N14" i="6" s="1"/>
  <c r="O13" i="6"/>
  <c r="J15" i="6"/>
  <c r="K15" i="6"/>
  <c r="I15" i="6"/>
  <c r="G16" i="6"/>
  <c r="H17" i="6"/>
  <c r="T17" i="6"/>
  <c r="U17" i="6"/>
  <c r="S17" i="6"/>
  <c r="Q18" i="6"/>
  <c r="R19" i="6"/>
  <c r="G31" i="9" l="1"/>
  <c r="H44" i="10"/>
  <c r="H31" i="9" s="1"/>
  <c r="Y15" i="6"/>
  <c r="X15" i="6"/>
  <c r="W16" i="6"/>
  <c r="O14" i="6"/>
  <c r="V17" i="6"/>
  <c r="L15" i="6"/>
  <c r="M15" i="6" s="1"/>
  <c r="N15" i="6" s="1"/>
  <c r="H18" i="6"/>
  <c r="G17" i="6"/>
  <c r="K16" i="6"/>
  <c r="J16" i="6"/>
  <c r="I16" i="6"/>
  <c r="R20" i="6"/>
  <c r="Q19" i="6"/>
  <c r="S18" i="6"/>
  <c r="T18" i="6"/>
  <c r="U18" i="6"/>
  <c r="Y16" i="6" l="1"/>
  <c r="X16" i="6"/>
  <c r="W17" i="6"/>
  <c r="V18" i="6"/>
  <c r="O15" i="6"/>
  <c r="L16" i="6"/>
  <c r="M16" i="6" s="1"/>
  <c r="N16" i="6" s="1"/>
  <c r="I17" i="6"/>
  <c r="K17" i="6"/>
  <c r="J17" i="6"/>
  <c r="H19" i="6"/>
  <c r="G18" i="6"/>
  <c r="S19" i="6"/>
  <c r="T19" i="6"/>
  <c r="U19" i="6"/>
  <c r="R21" i="6"/>
  <c r="Q20" i="6"/>
  <c r="Y17" i="6" l="1"/>
  <c r="X17" i="6"/>
  <c r="W18" i="6"/>
  <c r="V19" i="6"/>
  <c r="L17" i="6"/>
  <c r="M17" i="6" s="1"/>
  <c r="N17" i="6" s="1"/>
  <c r="O16" i="6"/>
  <c r="K18" i="6"/>
  <c r="J18" i="6"/>
  <c r="I18" i="6"/>
  <c r="H20" i="6"/>
  <c r="G19" i="6"/>
  <c r="R22" i="6"/>
  <c r="Q21" i="6"/>
  <c r="U20" i="6"/>
  <c r="S20" i="6"/>
  <c r="T20" i="6"/>
  <c r="Y18" i="6" l="1"/>
  <c r="X18" i="6"/>
  <c r="W19" i="6"/>
  <c r="O17" i="6"/>
  <c r="L18" i="6"/>
  <c r="M18" i="6" s="1"/>
  <c r="N18" i="6" s="1"/>
  <c r="V20" i="6"/>
  <c r="K19" i="6"/>
  <c r="J19" i="6"/>
  <c r="I19" i="6"/>
  <c r="G20" i="6"/>
  <c r="H21" i="6"/>
  <c r="T21" i="6"/>
  <c r="U21" i="6"/>
  <c r="S21" i="6"/>
  <c r="R23" i="6"/>
  <c r="Q22" i="6"/>
  <c r="Y19" i="6" l="1"/>
  <c r="W20" i="6"/>
  <c r="X19" i="6"/>
  <c r="O18" i="6"/>
  <c r="V21" i="6"/>
  <c r="L19" i="6"/>
  <c r="M19" i="6" s="1"/>
  <c r="N19" i="6" s="1"/>
  <c r="K20" i="6"/>
  <c r="J20" i="6"/>
  <c r="I20" i="6"/>
  <c r="H22" i="6"/>
  <c r="G21" i="6"/>
  <c r="Q23" i="6"/>
  <c r="R24" i="6"/>
  <c r="T22" i="6"/>
  <c r="U22" i="6"/>
  <c r="S22" i="6"/>
  <c r="Y20" i="6" l="1"/>
  <c r="X20" i="6"/>
  <c r="W21" i="6"/>
  <c r="V22" i="6"/>
  <c r="O19" i="6"/>
  <c r="L20" i="6"/>
  <c r="M20" i="6" s="1"/>
  <c r="N20" i="6" s="1"/>
  <c r="G22" i="6"/>
  <c r="H23" i="6"/>
  <c r="I21" i="6"/>
  <c r="K21" i="6"/>
  <c r="J21" i="6"/>
  <c r="Q24" i="6"/>
  <c r="R25" i="6"/>
  <c r="T23" i="6"/>
  <c r="S23" i="6"/>
  <c r="U23" i="6"/>
  <c r="Y21" i="6" l="1"/>
  <c r="X21" i="6"/>
  <c r="W22" i="6"/>
  <c r="V23" i="6"/>
  <c r="L21" i="6"/>
  <c r="M21" i="6" s="1"/>
  <c r="N21" i="6" s="1"/>
  <c r="O20" i="6"/>
  <c r="H24" i="6"/>
  <c r="G23" i="6"/>
  <c r="I22" i="6"/>
  <c r="J22" i="6"/>
  <c r="K22" i="6"/>
  <c r="Q25" i="6"/>
  <c r="R26" i="6"/>
  <c r="T24" i="6"/>
  <c r="U24" i="6"/>
  <c r="S24" i="6"/>
  <c r="Y22" i="6" l="1"/>
  <c r="W23" i="6"/>
  <c r="X22" i="6"/>
  <c r="O21" i="6"/>
  <c r="V24" i="6"/>
  <c r="L22" i="6"/>
  <c r="M22" i="6" s="1"/>
  <c r="N22" i="6" s="1"/>
  <c r="I23" i="6"/>
  <c r="J23" i="6"/>
  <c r="K23" i="6"/>
  <c r="H25" i="6"/>
  <c r="G24" i="6"/>
  <c r="Q26" i="6"/>
  <c r="R27" i="6"/>
  <c r="S25" i="6"/>
  <c r="T25" i="6"/>
  <c r="U25" i="6"/>
  <c r="Y23" i="6" l="1"/>
  <c r="X23" i="6"/>
  <c r="W24" i="6"/>
  <c r="O22" i="6"/>
  <c r="V25" i="6"/>
  <c r="L23" i="6"/>
  <c r="M23" i="6" s="1"/>
  <c r="N23" i="6" s="1"/>
  <c r="G25" i="6"/>
  <c r="H26" i="6"/>
  <c r="I24" i="6"/>
  <c r="J24" i="6"/>
  <c r="K24" i="6"/>
  <c r="Q27" i="6"/>
  <c r="R28" i="6"/>
  <c r="S26" i="6"/>
  <c r="U26" i="6"/>
  <c r="T26" i="6"/>
  <c r="Y24" i="6" l="1"/>
  <c r="W25" i="6"/>
  <c r="X24" i="6"/>
  <c r="O23" i="6"/>
  <c r="V26" i="6"/>
  <c r="L24" i="6"/>
  <c r="M24" i="6" s="1"/>
  <c r="N24" i="6" s="1"/>
  <c r="H27" i="6"/>
  <c r="G26" i="6"/>
  <c r="J25" i="6"/>
  <c r="I25" i="6"/>
  <c r="K25" i="6"/>
  <c r="Q28" i="6"/>
  <c r="R29" i="6"/>
  <c r="T27" i="6"/>
  <c r="U27" i="6"/>
  <c r="S27" i="6"/>
  <c r="Y25" i="6" l="1"/>
  <c r="W26" i="6"/>
  <c r="X25" i="6"/>
  <c r="V27" i="6"/>
  <c r="L25" i="6"/>
  <c r="M25" i="6" s="1"/>
  <c r="N25" i="6" s="1"/>
  <c r="O24" i="6"/>
  <c r="I26" i="6"/>
  <c r="J26" i="6"/>
  <c r="K26" i="6"/>
  <c r="G27" i="6"/>
  <c r="H28" i="6"/>
  <c r="R30" i="6"/>
  <c r="Q29" i="6"/>
  <c r="S28" i="6"/>
  <c r="U28" i="6"/>
  <c r="T28" i="6"/>
  <c r="Y26" i="6" l="1"/>
  <c r="X26" i="6"/>
  <c r="W27" i="6"/>
  <c r="L26" i="6"/>
  <c r="M26" i="6" s="1"/>
  <c r="N26" i="6" s="1"/>
  <c r="O25" i="6"/>
  <c r="V28" i="6"/>
  <c r="I27" i="6"/>
  <c r="J27" i="6"/>
  <c r="K27" i="6"/>
  <c r="G28" i="6"/>
  <c r="H29" i="6"/>
  <c r="Q30" i="6"/>
  <c r="R31" i="6"/>
  <c r="S29" i="6"/>
  <c r="T29" i="6"/>
  <c r="U29" i="6"/>
  <c r="Y27" i="6" l="1"/>
  <c r="W28" i="6"/>
  <c r="X27" i="6"/>
  <c r="V29" i="6"/>
  <c r="L27" i="6"/>
  <c r="M27" i="6" s="1"/>
  <c r="N27" i="6" s="1"/>
  <c r="O26" i="6"/>
  <c r="H30" i="6"/>
  <c r="G29" i="6"/>
  <c r="K28" i="6"/>
  <c r="I28" i="6"/>
  <c r="J28" i="6"/>
  <c r="R32" i="6"/>
  <c r="Q31" i="6"/>
  <c r="T30" i="6"/>
  <c r="S30" i="6"/>
  <c r="U30" i="6"/>
  <c r="Y28" i="6" l="1"/>
  <c r="X28" i="6"/>
  <c r="W29" i="6"/>
  <c r="L28" i="6"/>
  <c r="M28" i="6" s="1"/>
  <c r="O27" i="6"/>
  <c r="V30" i="6"/>
  <c r="K29" i="6"/>
  <c r="J29" i="6"/>
  <c r="I29" i="6"/>
  <c r="G30" i="6"/>
  <c r="H31" i="6"/>
  <c r="T31" i="6"/>
  <c r="U31" i="6"/>
  <c r="S31" i="6"/>
  <c r="Q32" i="6"/>
  <c r="R33" i="6"/>
  <c r="Y29" i="6" l="1"/>
  <c r="W30" i="6"/>
  <c r="X29" i="6"/>
  <c r="N28" i="6"/>
  <c r="O28" i="6"/>
  <c r="L29" i="6"/>
  <c r="M29" i="6" s="1"/>
  <c r="V31" i="6"/>
  <c r="G31" i="6"/>
  <c r="H32" i="6"/>
  <c r="K30" i="6"/>
  <c r="J30" i="6"/>
  <c r="I30" i="6"/>
  <c r="S32" i="6"/>
  <c r="U32" i="6"/>
  <c r="T32" i="6"/>
  <c r="R34" i="6"/>
  <c r="Q33" i="6"/>
  <c r="Y30" i="6" l="1"/>
  <c r="X30" i="6"/>
  <c r="W31" i="6"/>
  <c r="W32" i="6" s="1"/>
  <c r="V32" i="6"/>
  <c r="N29" i="6"/>
  <c r="O29" i="6"/>
  <c r="L30" i="6"/>
  <c r="M30" i="6" s="1"/>
  <c r="G32" i="6"/>
  <c r="H33" i="6"/>
  <c r="I31" i="6"/>
  <c r="J31" i="6"/>
  <c r="K31" i="6"/>
  <c r="R35" i="6"/>
  <c r="Q34" i="6"/>
  <c r="S33" i="6"/>
  <c r="T33" i="6"/>
  <c r="U33" i="6"/>
  <c r="Y31" i="6" l="1"/>
  <c r="Y32" i="6" s="1"/>
  <c r="X31" i="6"/>
  <c r="O30" i="6"/>
  <c r="N30" i="6"/>
  <c r="L31" i="6"/>
  <c r="M31" i="6" s="1"/>
  <c r="W33" i="6"/>
  <c r="V33" i="6"/>
  <c r="X32" i="6"/>
  <c r="H34" i="6"/>
  <c r="G33" i="6"/>
  <c r="I32" i="6"/>
  <c r="J32" i="6"/>
  <c r="K32" i="6"/>
  <c r="R36" i="6"/>
  <c r="Q35" i="6"/>
  <c r="T34" i="6"/>
  <c r="U34" i="6"/>
  <c r="S34" i="6"/>
  <c r="Y33" i="6" l="1"/>
  <c r="V34" i="6"/>
  <c r="W34" i="6"/>
  <c r="L32" i="6"/>
  <c r="M32" i="6" s="1"/>
  <c r="N31" i="6"/>
  <c r="O31" i="6"/>
  <c r="X33" i="6"/>
  <c r="K33" i="6"/>
  <c r="J33" i="6"/>
  <c r="I33" i="6"/>
  <c r="H35" i="6"/>
  <c r="G34" i="6"/>
  <c r="T35" i="6"/>
  <c r="S35" i="6"/>
  <c r="U35" i="6"/>
  <c r="Q36" i="6"/>
  <c r="R37" i="6"/>
  <c r="Y34" i="6" l="1"/>
  <c r="W35" i="6"/>
  <c r="X34" i="6"/>
  <c r="V35" i="6"/>
  <c r="L33" i="6"/>
  <c r="M33" i="6" s="1"/>
  <c r="N33" i="6" s="1"/>
  <c r="N32" i="6"/>
  <c r="O32" i="6"/>
  <c r="I34" i="6"/>
  <c r="K34" i="6"/>
  <c r="J34" i="6"/>
  <c r="G35" i="6"/>
  <c r="H36" i="6"/>
  <c r="U36" i="6"/>
  <c r="T36" i="6"/>
  <c r="S36" i="6"/>
  <c r="Q37" i="6"/>
  <c r="R38" i="6"/>
  <c r="Y35" i="6" l="1"/>
  <c r="L34" i="6"/>
  <c r="M34" i="6" s="1"/>
  <c r="N34" i="6" s="1"/>
  <c r="W36" i="6"/>
  <c r="X35" i="6"/>
  <c r="V36" i="6"/>
  <c r="O33" i="6"/>
  <c r="I35" i="6"/>
  <c r="K35" i="6"/>
  <c r="J35" i="6"/>
  <c r="G36" i="6"/>
  <c r="H37" i="6"/>
  <c r="T37" i="6"/>
  <c r="S37" i="6"/>
  <c r="U37" i="6"/>
  <c r="Q38" i="6"/>
  <c r="R39" i="6"/>
  <c r="Y36" i="6" l="1"/>
  <c r="V37" i="6"/>
  <c r="W37" i="6"/>
  <c r="X36" i="6"/>
  <c r="O34" i="6"/>
  <c r="L35" i="6"/>
  <c r="M35" i="6" s="1"/>
  <c r="N35" i="6" s="1"/>
  <c r="H38" i="6"/>
  <c r="G37" i="6"/>
  <c r="I36" i="6"/>
  <c r="J36" i="6"/>
  <c r="K36" i="6"/>
  <c r="T38" i="6"/>
  <c r="S38" i="6"/>
  <c r="U38" i="6"/>
  <c r="R40" i="6"/>
  <c r="Q39" i="6"/>
  <c r="Y37" i="6" l="1"/>
  <c r="V38" i="6"/>
  <c r="X37" i="6"/>
  <c r="W38" i="6"/>
  <c r="O35" i="6"/>
  <c r="L36" i="6"/>
  <c r="M36" i="6" s="1"/>
  <c r="N36" i="6" s="1"/>
  <c r="I37" i="6"/>
  <c r="K37" i="6"/>
  <c r="J37" i="6"/>
  <c r="G38" i="6"/>
  <c r="H39" i="6"/>
  <c r="Q40" i="6"/>
  <c r="R41" i="6"/>
  <c r="T39" i="6"/>
  <c r="U39" i="6"/>
  <c r="S39" i="6"/>
  <c r="Y38" i="6" l="1"/>
  <c r="W39" i="6"/>
  <c r="X38" i="6"/>
  <c r="V39" i="6"/>
  <c r="O36" i="6"/>
  <c r="L37" i="6"/>
  <c r="M37" i="6" s="1"/>
  <c r="I38" i="6"/>
  <c r="K38" i="6"/>
  <c r="J38" i="6"/>
  <c r="G39" i="6"/>
  <c r="H40" i="6"/>
  <c r="U40" i="6"/>
  <c r="S40" i="6"/>
  <c r="T40" i="6"/>
  <c r="R42" i="6"/>
  <c r="Q41" i="6"/>
  <c r="Y39" i="6" l="1"/>
  <c r="W40" i="6"/>
  <c r="X39" i="6"/>
  <c r="V40" i="6"/>
  <c r="O37" i="6"/>
  <c r="L38" i="6"/>
  <c r="M38" i="6" s="1"/>
  <c r="N38" i="6" s="1"/>
  <c r="N37" i="6"/>
  <c r="H41" i="6"/>
  <c r="G40" i="6"/>
  <c r="K39" i="6"/>
  <c r="I39" i="6"/>
  <c r="J39" i="6"/>
  <c r="Q42" i="6"/>
  <c r="R43" i="6"/>
  <c r="S41" i="6"/>
  <c r="T41" i="6"/>
  <c r="U41" i="6"/>
  <c r="Y40" i="6" l="1"/>
  <c r="V41" i="6"/>
  <c r="X40" i="6"/>
  <c r="W41" i="6"/>
  <c r="O38" i="6"/>
  <c r="L39" i="6"/>
  <c r="M39" i="6" s="1"/>
  <c r="N39" i="6" s="1"/>
  <c r="K40" i="6"/>
  <c r="J40" i="6"/>
  <c r="I40" i="6"/>
  <c r="G41" i="6"/>
  <c r="H42" i="6"/>
  <c r="Q43" i="6"/>
  <c r="R44" i="6"/>
  <c r="U42" i="6"/>
  <c r="S42" i="6"/>
  <c r="T42" i="6"/>
  <c r="Y41" i="6" l="1"/>
  <c r="X41" i="6"/>
  <c r="L40" i="6"/>
  <c r="M40" i="6" s="1"/>
  <c r="N40" i="6" s="1"/>
  <c r="W42" i="6"/>
  <c r="V42" i="6"/>
  <c r="O39" i="6"/>
  <c r="G42" i="6"/>
  <c r="H43" i="6"/>
  <c r="I41" i="6"/>
  <c r="K41" i="6"/>
  <c r="J41" i="6"/>
  <c r="Q44" i="6"/>
  <c r="R45" i="6"/>
  <c r="T43" i="6"/>
  <c r="U43" i="6"/>
  <c r="S43" i="6"/>
  <c r="Y42" i="6" l="1"/>
  <c r="W43" i="6"/>
  <c r="O40" i="6"/>
  <c r="V43" i="6"/>
  <c r="X42" i="6"/>
  <c r="L41" i="6"/>
  <c r="M41" i="6" s="1"/>
  <c r="N41" i="6" s="1"/>
  <c r="G43" i="6"/>
  <c r="H44" i="6"/>
  <c r="I42" i="6"/>
  <c r="J42" i="6"/>
  <c r="K42" i="6"/>
  <c r="T44" i="6"/>
  <c r="U44" i="6"/>
  <c r="S44" i="6"/>
  <c r="Q45" i="6"/>
  <c r="R46" i="6"/>
  <c r="Y43" i="6" l="1"/>
  <c r="X43" i="6"/>
  <c r="W44" i="6"/>
  <c r="L42" i="6"/>
  <c r="M42" i="6" s="1"/>
  <c r="N42" i="6" s="1"/>
  <c r="V44" i="6"/>
  <c r="O41" i="6"/>
  <c r="G44" i="6"/>
  <c r="H45" i="6"/>
  <c r="J43" i="6"/>
  <c r="I43" i="6"/>
  <c r="K43" i="6"/>
  <c r="S45" i="6"/>
  <c r="U45" i="6"/>
  <c r="T45" i="6"/>
  <c r="Q46" i="6"/>
  <c r="R47" i="6"/>
  <c r="Y44" i="6" l="1"/>
  <c r="V45" i="6"/>
  <c r="X44" i="6"/>
  <c r="W45" i="6"/>
  <c r="O42" i="6"/>
  <c r="L43" i="6"/>
  <c r="M43" i="6" s="1"/>
  <c r="N43" i="6" s="1"/>
  <c r="G45" i="6"/>
  <c r="H46" i="6"/>
  <c r="J44" i="6"/>
  <c r="I44" i="6"/>
  <c r="K44" i="6"/>
  <c r="U46" i="6"/>
  <c r="T46" i="6"/>
  <c r="S46" i="6"/>
  <c r="R48" i="6"/>
  <c r="Q47" i="6"/>
  <c r="Y45" i="6" l="1"/>
  <c r="X45" i="6"/>
  <c r="W46" i="6"/>
  <c r="V46" i="6"/>
  <c r="O43" i="6"/>
  <c r="L44" i="6"/>
  <c r="M44" i="6" s="1"/>
  <c r="N44" i="6" s="1"/>
  <c r="H47" i="6"/>
  <c r="G46" i="6"/>
  <c r="K45" i="6"/>
  <c r="I45" i="6"/>
  <c r="J45" i="6"/>
  <c r="Q48" i="6"/>
  <c r="R49" i="6"/>
  <c r="S47" i="6"/>
  <c r="U47" i="6"/>
  <c r="T47" i="6"/>
  <c r="Y46" i="6" l="1"/>
  <c r="V47" i="6"/>
  <c r="X46" i="6"/>
  <c r="W47" i="6"/>
  <c r="O44" i="6"/>
  <c r="L45" i="6"/>
  <c r="M45" i="6" s="1"/>
  <c r="J46" i="6"/>
  <c r="I46" i="6"/>
  <c r="K46" i="6"/>
  <c r="G47" i="6"/>
  <c r="H48" i="6"/>
  <c r="Q49" i="6"/>
  <c r="R50" i="6"/>
  <c r="T48" i="6"/>
  <c r="U48" i="6"/>
  <c r="S48" i="6"/>
  <c r="Y47" i="6" l="1"/>
  <c r="V48" i="6"/>
  <c r="W48" i="6"/>
  <c r="X47" i="6"/>
  <c r="N45" i="6"/>
  <c r="O45" i="6"/>
  <c r="L46" i="6"/>
  <c r="M46" i="6" s="1"/>
  <c r="G48" i="6"/>
  <c r="H49" i="6"/>
  <c r="I47" i="6"/>
  <c r="K47" i="6"/>
  <c r="J47" i="6"/>
  <c r="S49" i="6"/>
  <c r="T49" i="6"/>
  <c r="U49" i="6"/>
  <c r="R51" i="6"/>
  <c r="Q50" i="6"/>
  <c r="Y48" i="6" l="1"/>
  <c r="V49" i="6"/>
  <c r="X48" i="6"/>
  <c r="W49" i="6"/>
  <c r="L47" i="6"/>
  <c r="M47" i="6" s="1"/>
  <c r="N47" i="6" s="1"/>
  <c r="N46" i="6"/>
  <c r="O46" i="6"/>
  <c r="G49" i="6"/>
  <c r="H50" i="6"/>
  <c r="I48" i="6"/>
  <c r="J48" i="6"/>
  <c r="K48" i="6"/>
  <c r="Q51" i="6"/>
  <c r="R52" i="6"/>
  <c r="S50" i="6"/>
  <c r="T50" i="6"/>
  <c r="U50" i="6"/>
  <c r="Y49" i="6" l="1"/>
  <c r="W50" i="6"/>
  <c r="X49" i="6"/>
  <c r="V50" i="6"/>
  <c r="O47" i="6"/>
  <c r="L48" i="6"/>
  <c r="M48" i="6" s="1"/>
  <c r="N48" i="6" s="1"/>
  <c r="G50" i="6"/>
  <c r="H51" i="6"/>
  <c r="J49" i="6"/>
  <c r="K49" i="6"/>
  <c r="I49" i="6"/>
  <c r="Q52" i="6"/>
  <c r="R53" i="6"/>
  <c r="S51" i="6"/>
  <c r="T51" i="6"/>
  <c r="U51" i="6"/>
  <c r="Y50" i="6" l="1"/>
  <c r="V51" i="6"/>
  <c r="X50" i="6"/>
  <c r="W51" i="6"/>
  <c r="L49" i="6"/>
  <c r="M49" i="6" s="1"/>
  <c r="N49" i="6" s="1"/>
  <c r="O48" i="6"/>
  <c r="H52" i="6"/>
  <c r="G51" i="6"/>
  <c r="J50" i="6"/>
  <c r="K50" i="6"/>
  <c r="I50" i="6"/>
  <c r="U52" i="6"/>
  <c r="T52" i="6"/>
  <c r="S52" i="6"/>
  <c r="R54" i="6"/>
  <c r="Q53" i="6"/>
  <c r="Y51" i="6" l="1"/>
  <c r="W52" i="6"/>
  <c r="X51" i="6"/>
  <c r="V52" i="6"/>
  <c r="L50" i="6"/>
  <c r="M50" i="6" s="1"/>
  <c r="N50" i="6" s="1"/>
  <c r="O49" i="6"/>
  <c r="J51" i="6"/>
  <c r="K51" i="6"/>
  <c r="I51" i="6"/>
  <c r="G52" i="6"/>
  <c r="H53" i="6"/>
  <c r="R55" i="6"/>
  <c r="Q54" i="6"/>
  <c r="U53" i="6"/>
  <c r="S53" i="6"/>
  <c r="T53" i="6"/>
  <c r="Y52" i="6" l="1"/>
  <c r="V53" i="6"/>
  <c r="L51" i="6"/>
  <c r="M51" i="6" s="1"/>
  <c r="N51" i="6" s="1"/>
  <c r="X52" i="6"/>
  <c r="W53" i="6"/>
  <c r="O50" i="6"/>
  <c r="H54" i="6"/>
  <c r="G53" i="6"/>
  <c r="I52" i="6"/>
  <c r="J52" i="6"/>
  <c r="K52" i="6"/>
  <c r="R56" i="6"/>
  <c r="Q55" i="6"/>
  <c r="T54" i="6"/>
  <c r="U54" i="6"/>
  <c r="S54" i="6"/>
  <c r="Y53" i="6" l="1"/>
  <c r="W54" i="6"/>
  <c r="X53" i="6"/>
  <c r="V54" i="6"/>
  <c r="O51" i="6"/>
  <c r="L52" i="6"/>
  <c r="M52" i="6" s="1"/>
  <c r="K53" i="6"/>
  <c r="J53" i="6"/>
  <c r="I53" i="6"/>
  <c r="G54" i="6"/>
  <c r="H55" i="6"/>
  <c r="U55" i="6"/>
  <c r="S55" i="6"/>
  <c r="T55" i="6"/>
  <c r="R57" i="6"/>
  <c r="Q56" i="6"/>
  <c r="Y54" i="6" l="1"/>
  <c r="L53" i="6"/>
  <c r="M53" i="6" s="1"/>
  <c r="N53" i="6" s="1"/>
  <c r="W55" i="6"/>
  <c r="X54" i="6"/>
  <c r="V55" i="6"/>
  <c r="O52" i="6"/>
  <c r="N52" i="6"/>
  <c r="I54" i="6"/>
  <c r="K54" i="6"/>
  <c r="J54" i="6"/>
  <c r="H56" i="6"/>
  <c r="G55" i="6"/>
  <c r="Q57" i="6"/>
  <c r="R58" i="6"/>
  <c r="U56" i="6"/>
  <c r="S56" i="6"/>
  <c r="T56" i="6"/>
  <c r="Y55" i="6" l="1"/>
  <c r="X55" i="6"/>
  <c r="W56" i="6"/>
  <c r="V56" i="6"/>
  <c r="O53" i="6"/>
  <c r="L54" i="6"/>
  <c r="M54" i="6" s="1"/>
  <c r="N54" i="6" s="1"/>
  <c r="I55" i="6"/>
  <c r="J55" i="6"/>
  <c r="K55" i="6"/>
  <c r="H57" i="6"/>
  <c r="G56" i="6"/>
  <c r="R59" i="6"/>
  <c r="Q58" i="6"/>
  <c r="U57" i="6"/>
  <c r="T57" i="6"/>
  <c r="S57" i="6"/>
  <c r="L55" i="6" l="1"/>
  <c r="Y56" i="6"/>
  <c r="X56" i="6"/>
  <c r="W57" i="6"/>
  <c r="V57" i="6"/>
  <c r="M55" i="6"/>
  <c r="N55" i="6" s="1"/>
  <c r="O54" i="6"/>
  <c r="H58" i="6"/>
  <c r="G57" i="6"/>
  <c r="J56" i="6"/>
  <c r="I56" i="6"/>
  <c r="K56" i="6"/>
  <c r="S58" i="6"/>
  <c r="T58" i="6"/>
  <c r="U58" i="6"/>
  <c r="Q59" i="6"/>
  <c r="R60" i="6"/>
  <c r="Y57" i="6" l="1"/>
  <c r="X57" i="6"/>
  <c r="V58" i="6"/>
  <c r="W58" i="6"/>
  <c r="L56" i="6"/>
  <c r="M56" i="6" s="1"/>
  <c r="N56" i="6" s="1"/>
  <c r="O55" i="6"/>
  <c r="K57" i="6"/>
  <c r="I57" i="6"/>
  <c r="J57" i="6"/>
  <c r="G58" i="6"/>
  <c r="H59" i="6"/>
  <c r="R61" i="6"/>
  <c r="Q60" i="6"/>
  <c r="T59" i="6"/>
  <c r="S59" i="6"/>
  <c r="U59" i="6"/>
  <c r="Y58" i="6" l="1"/>
  <c r="W59" i="6"/>
  <c r="X59" i="6" s="1"/>
  <c r="X58" i="6"/>
  <c r="V59" i="6"/>
  <c r="O56" i="6"/>
  <c r="L57" i="6"/>
  <c r="M57" i="6" s="1"/>
  <c r="N57" i="6" s="1"/>
  <c r="I58" i="6"/>
  <c r="K58" i="6"/>
  <c r="J58" i="6"/>
  <c r="G59" i="6"/>
  <c r="H60" i="6"/>
  <c r="R62" i="6"/>
  <c r="Q61" i="6"/>
  <c r="T60" i="6"/>
  <c r="U60" i="6"/>
  <c r="S60" i="6"/>
  <c r="Y59" i="6" l="1"/>
  <c r="W60" i="6"/>
  <c r="X60" i="6" s="1"/>
  <c r="V60" i="6"/>
  <c r="L58" i="6"/>
  <c r="M58" i="6" s="1"/>
  <c r="O57" i="6"/>
  <c r="I59" i="6"/>
  <c r="J59" i="6"/>
  <c r="K59" i="6"/>
  <c r="G60" i="6"/>
  <c r="H61" i="6"/>
  <c r="U61" i="6"/>
  <c r="T61" i="6"/>
  <c r="S61" i="6"/>
  <c r="Q62" i="6"/>
  <c r="R63" i="6"/>
  <c r="Y60" i="6" l="1"/>
  <c r="W61" i="6"/>
  <c r="V61" i="6"/>
  <c r="O58" i="6"/>
  <c r="N58" i="6"/>
  <c r="L59" i="6"/>
  <c r="M59" i="6" s="1"/>
  <c r="H62" i="6"/>
  <c r="G61" i="6"/>
  <c r="K60" i="6"/>
  <c r="I60" i="6"/>
  <c r="J60" i="6"/>
  <c r="Q63" i="6"/>
  <c r="R64" i="6"/>
  <c r="T62" i="6"/>
  <c r="S62" i="6"/>
  <c r="U62" i="6"/>
  <c r="Y61" i="6" l="1"/>
  <c r="W62" i="6"/>
  <c r="X61" i="6"/>
  <c r="V62" i="6"/>
  <c r="L60" i="6"/>
  <c r="M60" i="6" s="1"/>
  <c r="N60" i="6" s="1"/>
  <c r="N59" i="6"/>
  <c r="O59" i="6"/>
  <c r="I61" i="6"/>
  <c r="K61" i="6"/>
  <c r="J61" i="6"/>
  <c r="G62" i="6"/>
  <c r="H63" i="6"/>
  <c r="T63" i="6"/>
  <c r="U63" i="6"/>
  <c r="S63" i="6"/>
  <c r="R65" i="6"/>
  <c r="Q64" i="6"/>
  <c r="Y62" i="6" l="1"/>
  <c r="W63" i="6"/>
  <c r="X62" i="6"/>
  <c r="V63" i="6"/>
  <c r="L61" i="6"/>
  <c r="M61" i="6" s="1"/>
  <c r="O60" i="6"/>
  <c r="H64" i="6"/>
  <c r="G63" i="6"/>
  <c r="K62" i="6"/>
  <c r="J62" i="6"/>
  <c r="I62" i="6"/>
  <c r="Q65" i="6"/>
  <c r="R66" i="6"/>
  <c r="T64" i="6"/>
  <c r="S64" i="6"/>
  <c r="U64" i="6"/>
  <c r="Y63" i="6" l="1"/>
  <c r="W64" i="6"/>
  <c r="X63" i="6"/>
  <c r="V64" i="6"/>
  <c r="O61" i="6"/>
  <c r="N61" i="6"/>
  <c r="L62" i="6"/>
  <c r="M62" i="6" s="1"/>
  <c r="N62" i="6" s="1"/>
  <c r="I63" i="6"/>
  <c r="J63" i="6"/>
  <c r="K63" i="6"/>
  <c r="G64" i="6"/>
  <c r="H65" i="6"/>
  <c r="Q66" i="6"/>
  <c r="R67" i="6"/>
  <c r="S65" i="6"/>
  <c r="T65" i="6"/>
  <c r="U65" i="6"/>
  <c r="Y64" i="6" l="1"/>
  <c r="V65" i="6"/>
  <c r="X64" i="6"/>
  <c r="L63" i="6"/>
  <c r="M63" i="6" s="1"/>
  <c r="N63" i="6" s="1"/>
  <c r="W65" i="6"/>
  <c r="O62" i="6"/>
  <c r="H66" i="6"/>
  <c r="G65" i="6"/>
  <c r="K64" i="6"/>
  <c r="J64" i="6"/>
  <c r="I64" i="6"/>
  <c r="Q67" i="6"/>
  <c r="R68" i="6"/>
  <c r="S66" i="6"/>
  <c r="U66" i="6"/>
  <c r="T66" i="6"/>
  <c r="Y65" i="6" l="1"/>
  <c r="O63" i="6"/>
  <c r="X65" i="6"/>
  <c r="V66" i="6"/>
  <c r="W66" i="6"/>
  <c r="L64" i="6"/>
  <c r="M64" i="6" s="1"/>
  <c r="J65" i="6"/>
  <c r="K65" i="6"/>
  <c r="I65" i="6"/>
  <c r="H67" i="6"/>
  <c r="G66" i="6"/>
  <c r="U67" i="6"/>
  <c r="S67" i="6"/>
  <c r="T67" i="6"/>
  <c r="R69" i="6"/>
  <c r="Q68" i="6"/>
  <c r="Y66" i="6" l="1"/>
  <c r="X66" i="6"/>
  <c r="W67" i="6"/>
  <c r="X67" i="6" s="1"/>
  <c r="O64" i="6"/>
  <c r="V67" i="6"/>
  <c r="N64" i="6"/>
  <c r="L65" i="6"/>
  <c r="M65" i="6" s="1"/>
  <c r="N65" i="6" s="1"/>
  <c r="G67" i="6"/>
  <c r="H68" i="6"/>
  <c r="J66" i="6"/>
  <c r="I66" i="6"/>
  <c r="K66" i="6"/>
  <c r="Q69" i="6"/>
  <c r="R70" i="6"/>
  <c r="S68" i="6"/>
  <c r="U68" i="6"/>
  <c r="T68" i="6"/>
  <c r="Y67" i="6" l="1"/>
  <c r="V68" i="6"/>
  <c r="W68" i="6"/>
  <c r="X68" i="6"/>
  <c r="L66" i="6"/>
  <c r="M66" i="6" s="1"/>
  <c r="N66" i="6" s="1"/>
  <c r="O65" i="6"/>
  <c r="H69" i="6"/>
  <c r="G68" i="6"/>
  <c r="J67" i="6"/>
  <c r="K67" i="6"/>
  <c r="I67" i="6"/>
  <c r="Q70" i="6"/>
  <c r="R71" i="6"/>
  <c r="S69" i="6"/>
  <c r="T69" i="6"/>
  <c r="U69" i="6"/>
  <c r="W69" i="6" l="1"/>
  <c r="X69" i="6" s="1"/>
  <c r="Y68" i="6"/>
  <c r="V69" i="6"/>
  <c r="L67" i="6"/>
  <c r="M67" i="6" s="1"/>
  <c r="N67" i="6" s="1"/>
  <c r="O66" i="6"/>
  <c r="K68" i="6"/>
  <c r="I68" i="6"/>
  <c r="J68" i="6"/>
  <c r="G69" i="6"/>
  <c r="H70" i="6"/>
  <c r="R72" i="6"/>
  <c r="Q71" i="6"/>
  <c r="U70" i="6"/>
  <c r="T70" i="6"/>
  <c r="S70" i="6"/>
  <c r="Y69" i="6" l="1"/>
  <c r="L68" i="6"/>
  <c r="W70" i="6"/>
  <c r="V70" i="6"/>
  <c r="M68" i="6"/>
  <c r="N68" i="6" s="1"/>
  <c r="O67" i="6"/>
  <c r="H71" i="6"/>
  <c r="G70" i="6"/>
  <c r="J69" i="6"/>
  <c r="K69" i="6"/>
  <c r="I69" i="6"/>
  <c r="S71" i="6"/>
  <c r="U71" i="6"/>
  <c r="T71" i="6"/>
  <c r="Q72" i="6"/>
  <c r="R73" i="6"/>
  <c r="Y70" i="6" l="1"/>
  <c r="X70" i="6"/>
  <c r="W71" i="6"/>
  <c r="V71" i="6"/>
  <c r="L69" i="6"/>
  <c r="M69" i="6" s="1"/>
  <c r="N69" i="6" s="1"/>
  <c r="O68" i="6"/>
  <c r="J70" i="6"/>
  <c r="K70" i="6"/>
  <c r="I70" i="6"/>
  <c r="H72" i="6"/>
  <c r="G71" i="6"/>
  <c r="S72" i="6"/>
  <c r="T72" i="6"/>
  <c r="U72" i="6"/>
  <c r="R74" i="6"/>
  <c r="Q73" i="6"/>
  <c r="Y71" i="6" l="1"/>
  <c r="X71" i="6"/>
  <c r="V72" i="6"/>
  <c r="W72" i="6"/>
  <c r="L70" i="6"/>
  <c r="M70" i="6" s="1"/>
  <c r="O69" i="6"/>
  <c r="J71" i="6"/>
  <c r="I71" i="6"/>
  <c r="K71" i="6"/>
  <c r="G72" i="6"/>
  <c r="H73" i="6"/>
  <c r="Q74" i="6"/>
  <c r="R75" i="6"/>
  <c r="S73" i="6"/>
  <c r="T73" i="6"/>
  <c r="U73" i="6"/>
  <c r="L71" i="6" l="1"/>
  <c r="Y72" i="6"/>
  <c r="W73" i="6"/>
  <c r="X72" i="6"/>
  <c r="V73" i="6"/>
  <c r="O70" i="6"/>
  <c r="M71" i="6"/>
  <c r="N71" i="6" s="1"/>
  <c r="N70" i="6"/>
  <c r="H74" i="6"/>
  <c r="G73" i="6"/>
  <c r="I72" i="6"/>
  <c r="J72" i="6"/>
  <c r="K72" i="6"/>
  <c r="Q75" i="6"/>
  <c r="R76" i="6"/>
  <c r="U74" i="6"/>
  <c r="S74" i="6"/>
  <c r="T74" i="6"/>
  <c r="Y73" i="6" l="1"/>
  <c r="X73" i="6"/>
  <c r="W74" i="6"/>
  <c r="L72" i="6"/>
  <c r="V74" i="6"/>
  <c r="O71" i="6"/>
  <c r="M72" i="6"/>
  <c r="N72" i="6" s="1"/>
  <c r="J73" i="6"/>
  <c r="K73" i="6"/>
  <c r="I73" i="6"/>
  <c r="H75" i="6"/>
  <c r="G74" i="6"/>
  <c r="Q76" i="6"/>
  <c r="R77" i="6"/>
  <c r="T75" i="6"/>
  <c r="U75" i="6"/>
  <c r="S75" i="6"/>
  <c r="Y74" i="6" l="1"/>
  <c r="X74" i="6"/>
  <c r="W75" i="6"/>
  <c r="L73" i="6"/>
  <c r="M73" i="6" s="1"/>
  <c r="N73" i="6" s="1"/>
  <c r="V75" i="6"/>
  <c r="O72" i="6"/>
  <c r="K74" i="6"/>
  <c r="J74" i="6"/>
  <c r="I74" i="6"/>
  <c r="G75" i="6"/>
  <c r="H76" i="6"/>
  <c r="Q77" i="6"/>
  <c r="R78" i="6"/>
  <c r="U76" i="6"/>
  <c r="T76" i="6"/>
  <c r="S76" i="6"/>
  <c r="Y75" i="6" l="1"/>
  <c r="X75" i="6"/>
  <c r="O73" i="6"/>
  <c r="W76" i="6"/>
  <c r="V76" i="6"/>
  <c r="L74" i="6"/>
  <c r="M74" i="6" s="1"/>
  <c r="I75" i="6"/>
  <c r="J75" i="6"/>
  <c r="K75" i="6"/>
  <c r="G76" i="6"/>
  <c r="H77" i="6"/>
  <c r="U77" i="6"/>
  <c r="T77" i="6"/>
  <c r="S77" i="6"/>
  <c r="Q78" i="6"/>
  <c r="R79" i="6"/>
  <c r="Y76" i="6" l="1"/>
  <c r="O74" i="6"/>
  <c r="W77" i="6"/>
  <c r="X76" i="6"/>
  <c r="V77" i="6"/>
  <c r="L75" i="6"/>
  <c r="M75" i="6" s="1"/>
  <c r="N75" i="6" s="1"/>
  <c r="N74" i="6"/>
  <c r="G77" i="6"/>
  <c r="H78" i="6"/>
  <c r="K76" i="6"/>
  <c r="J76" i="6"/>
  <c r="I76" i="6"/>
  <c r="S78" i="6"/>
  <c r="U78" i="6"/>
  <c r="T78" i="6"/>
  <c r="V78" i="6" s="1"/>
  <c r="Q79" i="6"/>
  <c r="R80" i="6"/>
  <c r="Y77" i="6" l="1"/>
  <c r="W78" i="6"/>
  <c r="X77" i="6"/>
  <c r="L76" i="6"/>
  <c r="M76" i="6" s="1"/>
  <c r="N76" i="6" s="1"/>
  <c r="O75" i="6"/>
  <c r="G78" i="6"/>
  <c r="H79" i="6"/>
  <c r="J77" i="6"/>
  <c r="I77" i="6"/>
  <c r="K77" i="6"/>
  <c r="S79" i="6"/>
  <c r="T79" i="6"/>
  <c r="U79" i="6"/>
  <c r="Q80" i="6"/>
  <c r="R81" i="6"/>
  <c r="Y78" i="6" l="1"/>
  <c r="W79" i="6"/>
  <c r="X78" i="6"/>
  <c r="L77" i="6"/>
  <c r="M77" i="6" s="1"/>
  <c r="V79" i="6"/>
  <c r="O76" i="6"/>
  <c r="G79" i="6"/>
  <c r="H80" i="6"/>
  <c r="J78" i="6"/>
  <c r="K78" i="6"/>
  <c r="I78" i="6"/>
  <c r="S80" i="6"/>
  <c r="U80" i="6"/>
  <c r="T80" i="6"/>
  <c r="Q81" i="6"/>
  <c r="R82" i="6"/>
  <c r="Y79" i="6" l="1"/>
  <c r="X79" i="6"/>
  <c r="W80" i="6"/>
  <c r="V80" i="6"/>
  <c r="O77" i="6"/>
  <c r="N77" i="6"/>
  <c r="L78" i="6"/>
  <c r="M78" i="6" s="1"/>
  <c r="G80" i="6"/>
  <c r="H81" i="6"/>
  <c r="I79" i="6"/>
  <c r="K79" i="6"/>
  <c r="J79" i="6"/>
  <c r="T81" i="6"/>
  <c r="S81" i="6"/>
  <c r="U81" i="6"/>
  <c r="R83" i="6"/>
  <c r="Q82" i="6"/>
  <c r="Y80" i="6" l="1"/>
  <c r="X80" i="6"/>
  <c r="V81" i="6"/>
  <c r="W81" i="6"/>
  <c r="O78" i="6"/>
  <c r="N78" i="6"/>
  <c r="X81" i="6"/>
  <c r="L79" i="6"/>
  <c r="M79" i="6" s="1"/>
  <c r="G81" i="6"/>
  <c r="H82" i="6"/>
  <c r="J80" i="6"/>
  <c r="K80" i="6"/>
  <c r="I80" i="6"/>
  <c r="S82" i="6"/>
  <c r="U82" i="6"/>
  <c r="T82" i="6"/>
  <c r="Q83" i="6"/>
  <c r="R84" i="6"/>
  <c r="Y81" i="6" l="1"/>
  <c r="W82" i="6"/>
  <c r="V82" i="6"/>
  <c r="L80" i="6"/>
  <c r="M80" i="6" s="1"/>
  <c r="N80" i="6" s="1"/>
  <c r="O79" i="6"/>
  <c r="N79" i="6"/>
  <c r="H83" i="6"/>
  <c r="G82" i="6"/>
  <c r="I81" i="6"/>
  <c r="J81" i="6"/>
  <c r="K81" i="6"/>
  <c r="Q84" i="6"/>
  <c r="R85" i="6"/>
  <c r="S83" i="6"/>
  <c r="T83" i="6"/>
  <c r="U83" i="6"/>
  <c r="Y82" i="6" l="1"/>
  <c r="W83" i="6"/>
  <c r="V83" i="6"/>
  <c r="X82" i="6"/>
  <c r="O80" i="6"/>
  <c r="L81" i="6"/>
  <c r="M81" i="6" s="1"/>
  <c r="J82" i="6"/>
  <c r="K82" i="6"/>
  <c r="I82" i="6"/>
  <c r="G83" i="6"/>
  <c r="H84" i="6"/>
  <c r="T84" i="6"/>
  <c r="U84" i="6"/>
  <c r="S84" i="6"/>
  <c r="Q85" i="6"/>
  <c r="R86" i="6"/>
  <c r="Y83" i="6" l="1"/>
  <c r="X83" i="6"/>
  <c r="W84" i="6"/>
  <c r="V84" i="6"/>
  <c r="O81" i="6"/>
  <c r="N81" i="6"/>
  <c r="L82" i="6"/>
  <c r="M82" i="6" s="1"/>
  <c r="I83" i="6"/>
  <c r="K83" i="6"/>
  <c r="J83" i="6"/>
  <c r="G84" i="6"/>
  <c r="H85" i="6"/>
  <c r="U85" i="6"/>
  <c r="T85" i="6"/>
  <c r="S85" i="6"/>
  <c r="Q86" i="6"/>
  <c r="R87" i="6"/>
  <c r="Y84" i="6" l="1"/>
  <c r="W85" i="6"/>
  <c r="X84" i="6"/>
  <c r="L83" i="6"/>
  <c r="M83" i="6" s="1"/>
  <c r="N83" i="6" s="1"/>
  <c r="V85" i="6"/>
  <c r="O82" i="6"/>
  <c r="N82" i="6"/>
  <c r="I84" i="6"/>
  <c r="J84" i="6"/>
  <c r="K84" i="6"/>
  <c r="G85" i="6"/>
  <c r="H86" i="6"/>
  <c r="U86" i="6"/>
  <c r="S86" i="6"/>
  <c r="T86" i="6"/>
  <c r="W86" i="6" s="1"/>
  <c r="Q87" i="6"/>
  <c r="R88" i="6"/>
  <c r="Y85" i="6" l="1"/>
  <c r="Y86" i="6" s="1"/>
  <c r="X85" i="6"/>
  <c r="V86" i="6"/>
  <c r="X86" i="6"/>
  <c r="O83" i="6"/>
  <c r="L84" i="6"/>
  <c r="M84" i="6" s="1"/>
  <c r="J85" i="6"/>
  <c r="K85" i="6"/>
  <c r="I85" i="6"/>
  <c r="G86" i="6"/>
  <c r="H87" i="6"/>
  <c r="T87" i="6"/>
  <c r="U87" i="6"/>
  <c r="S87" i="6"/>
  <c r="Q88" i="6"/>
  <c r="R89" i="6"/>
  <c r="W87" i="6" l="1"/>
  <c r="Y87" i="6" s="1"/>
  <c r="V87" i="6"/>
  <c r="O84" i="6"/>
  <c r="N84" i="6"/>
  <c r="L85" i="6"/>
  <c r="M85" i="6" s="1"/>
  <c r="H88" i="6"/>
  <c r="G87" i="6"/>
  <c r="K86" i="6"/>
  <c r="I86" i="6"/>
  <c r="J86" i="6"/>
  <c r="T88" i="6"/>
  <c r="S88" i="6"/>
  <c r="U88" i="6"/>
  <c r="Q89" i="6"/>
  <c r="R90" i="6"/>
  <c r="X87" i="6" l="1"/>
  <c r="L86" i="6"/>
  <c r="M86" i="6" s="1"/>
  <c r="N86" i="6" s="1"/>
  <c r="W88" i="6"/>
  <c r="Y88" i="6" s="1"/>
  <c r="V88" i="6"/>
  <c r="O85" i="6"/>
  <c r="N85" i="6"/>
  <c r="J87" i="6"/>
  <c r="K87" i="6"/>
  <c r="I87" i="6"/>
  <c r="L87" i="6" s="1"/>
  <c r="G88" i="6"/>
  <c r="H89" i="6"/>
  <c r="T89" i="6"/>
  <c r="S89" i="6"/>
  <c r="U89" i="6"/>
  <c r="R91" i="6"/>
  <c r="Q90" i="6"/>
  <c r="M87" i="6" l="1"/>
  <c r="N87" i="6" s="1"/>
  <c r="W89" i="6"/>
  <c r="Y89" i="6" s="1"/>
  <c r="X88" i="6"/>
  <c r="V89" i="6"/>
  <c r="O86" i="6"/>
  <c r="J88" i="6"/>
  <c r="I88" i="6"/>
  <c r="K88" i="6"/>
  <c r="H90" i="6"/>
  <c r="G89" i="6"/>
  <c r="Q91" i="6"/>
  <c r="R92" i="6"/>
  <c r="S90" i="6"/>
  <c r="T90" i="6"/>
  <c r="U90" i="6"/>
  <c r="V90" i="6" l="1"/>
  <c r="X89" i="6"/>
  <c r="W90" i="6"/>
  <c r="Y90" i="6" s="1"/>
  <c r="O87" i="6"/>
  <c r="L88" i="6"/>
  <c r="M88" i="6" s="1"/>
  <c r="N88" i="6" s="1"/>
  <c r="X90" i="6"/>
  <c r="H91" i="6"/>
  <c r="G90" i="6"/>
  <c r="K89" i="6"/>
  <c r="I89" i="6"/>
  <c r="J89" i="6"/>
  <c r="R93" i="6"/>
  <c r="Q92" i="6"/>
  <c r="S91" i="6"/>
  <c r="T91" i="6"/>
  <c r="U91" i="6"/>
  <c r="V91" i="6" l="1"/>
  <c r="W91" i="6"/>
  <c r="Y91" i="6" s="1"/>
  <c r="O88" i="6"/>
  <c r="L89" i="6"/>
  <c r="M89" i="6" s="1"/>
  <c r="K90" i="6"/>
  <c r="J90" i="6"/>
  <c r="I90" i="6"/>
  <c r="G91" i="6"/>
  <c r="H92" i="6"/>
  <c r="S92" i="6"/>
  <c r="T92" i="6"/>
  <c r="U92" i="6"/>
  <c r="Q93" i="6"/>
  <c r="R94" i="6"/>
  <c r="X91" i="6" l="1"/>
  <c r="W92" i="6"/>
  <c r="Y92" i="6" s="1"/>
  <c r="O89" i="6"/>
  <c r="L90" i="6"/>
  <c r="M90" i="6" s="1"/>
  <c r="V92" i="6"/>
  <c r="N89" i="6"/>
  <c r="I91" i="6"/>
  <c r="J91" i="6"/>
  <c r="K91" i="6"/>
  <c r="G92" i="6"/>
  <c r="H93" i="6"/>
  <c r="R95" i="6"/>
  <c r="Q94" i="6"/>
  <c r="T93" i="6"/>
  <c r="S93" i="6"/>
  <c r="U93" i="6"/>
  <c r="X92" i="6" l="1"/>
  <c r="W93" i="6"/>
  <c r="Y93" i="6" s="1"/>
  <c r="O90" i="6"/>
  <c r="L91" i="6"/>
  <c r="M91" i="6" s="1"/>
  <c r="N91" i="6" s="1"/>
  <c r="N90" i="6"/>
  <c r="V93" i="6"/>
  <c r="H94" i="6"/>
  <c r="G93" i="6"/>
  <c r="J92" i="6"/>
  <c r="K92" i="6"/>
  <c r="I92" i="6"/>
  <c r="T94" i="6"/>
  <c r="U94" i="6"/>
  <c r="S94" i="6"/>
  <c r="R96" i="6"/>
  <c r="Q95" i="6"/>
  <c r="X93" i="6" l="1"/>
  <c r="W94" i="6"/>
  <c r="Y94" i="6" s="1"/>
  <c r="O91" i="6"/>
  <c r="L92" i="6"/>
  <c r="M92" i="6" s="1"/>
  <c r="N92" i="6" s="1"/>
  <c r="V94" i="6"/>
  <c r="J93" i="6"/>
  <c r="I93" i="6"/>
  <c r="K93" i="6"/>
  <c r="G94" i="6"/>
  <c r="H95" i="6"/>
  <c r="R97" i="6"/>
  <c r="Q96" i="6"/>
  <c r="U95" i="6"/>
  <c r="S95" i="6"/>
  <c r="T95" i="6"/>
  <c r="X94" i="6" l="1"/>
  <c r="O92" i="6"/>
  <c r="V95" i="6"/>
  <c r="W95" i="6"/>
  <c r="Y95" i="6" s="1"/>
  <c r="L93" i="6"/>
  <c r="M93" i="6" s="1"/>
  <c r="I94" i="6"/>
  <c r="K94" i="6"/>
  <c r="J94" i="6"/>
  <c r="H96" i="6"/>
  <c r="G95" i="6"/>
  <c r="T96" i="6"/>
  <c r="S96" i="6"/>
  <c r="U96" i="6"/>
  <c r="Q97" i="6"/>
  <c r="R98" i="6"/>
  <c r="X95" i="6" l="1"/>
  <c r="O93" i="6"/>
  <c r="V96" i="6"/>
  <c r="L94" i="6"/>
  <c r="M94" i="6" s="1"/>
  <c r="N94" i="6" s="1"/>
  <c r="W96" i="6"/>
  <c r="Y96" i="6" s="1"/>
  <c r="N93" i="6"/>
  <c r="H97" i="6"/>
  <c r="G96" i="6"/>
  <c r="J95" i="6"/>
  <c r="K95" i="6"/>
  <c r="I95" i="6"/>
  <c r="U97" i="6"/>
  <c r="T97" i="6"/>
  <c r="S97" i="6"/>
  <c r="V97" i="6" s="1"/>
  <c r="R99" i="6"/>
  <c r="Q98" i="6"/>
  <c r="W97" i="6" l="1"/>
  <c r="X97" i="6" s="1"/>
  <c r="X96" i="6"/>
  <c r="O94" i="6"/>
  <c r="L95" i="6"/>
  <c r="M95" i="6" s="1"/>
  <c r="J96" i="6"/>
  <c r="I96" i="6"/>
  <c r="K96" i="6"/>
  <c r="G97" i="6"/>
  <c r="H98" i="6"/>
  <c r="R100" i="6"/>
  <c r="Q99" i="6"/>
  <c r="U98" i="6"/>
  <c r="S98" i="6"/>
  <c r="T98" i="6"/>
  <c r="W98" i="6" l="1"/>
  <c r="Y97" i="6"/>
  <c r="L96" i="6"/>
  <c r="M96" i="6" s="1"/>
  <c r="N96" i="6" s="1"/>
  <c r="V98" i="6"/>
  <c r="O95" i="6"/>
  <c r="N95" i="6"/>
  <c r="G98" i="6"/>
  <c r="H99" i="6"/>
  <c r="J97" i="6"/>
  <c r="I97" i="6"/>
  <c r="K97" i="6"/>
  <c r="T99" i="6"/>
  <c r="U99" i="6"/>
  <c r="S99" i="6"/>
  <c r="Q100" i="6"/>
  <c r="R101" i="6"/>
  <c r="Y98" i="6" l="1"/>
  <c r="X98" i="6"/>
  <c r="W99" i="6"/>
  <c r="V99" i="6"/>
  <c r="O96" i="6"/>
  <c r="L97" i="6"/>
  <c r="M97" i="6" s="1"/>
  <c r="H100" i="6"/>
  <c r="G99" i="6"/>
  <c r="I98" i="6"/>
  <c r="J98" i="6"/>
  <c r="K98" i="6"/>
  <c r="T100" i="6"/>
  <c r="U100" i="6"/>
  <c r="W100" i="6" s="1"/>
  <c r="S100" i="6"/>
  <c r="Q101" i="6"/>
  <c r="R102" i="6"/>
  <c r="Y99" i="6" l="1"/>
  <c r="Y100" i="6" s="1"/>
  <c r="X99" i="6"/>
  <c r="X100" i="6"/>
  <c r="V100" i="6"/>
  <c r="O97" i="6"/>
  <c r="N97" i="6"/>
  <c r="L98" i="6"/>
  <c r="M98" i="6" s="1"/>
  <c r="N98" i="6" s="1"/>
  <c r="K99" i="6"/>
  <c r="J99" i="6"/>
  <c r="I99" i="6"/>
  <c r="H101" i="6"/>
  <c r="G100" i="6"/>
  <c r="T101" i="6"/>
  <c r="U101" i="6"/>
  <c r="S101" i="6"/>
  <c r="Q102" i="6"/>
  <c r="R103" i="6"/>
  <c r="W101" i="6" l="1"/>
  <c r="Y101" i="6" s="1"/>
  <c r="X101" i="6"/>
  <c r="V101" i="6"/>
  <c r="L99" i="6"/>
  <c r="M99" i="6" s="1"/>
  <c r="N99" i="6" s="1"/>
  <c r="O98" i="6"/>
  <c r="I100" i="6"/>
  <c r="K100" i="6"/>
  <c r="J100" i="6"/>
  <c r="H102" i="6"/>
  <c r="G101" i="6"/>
  <c r="S102" i="6"/>
  <c r="T102" i="6"/>
  <c r="U102" i="6"/>
  <c r="R104" i="6"/>
  <c r="Q103" i="6"/>
  <c r="V102" i="6" l="1"/>
  <c r="W102" i="6"/>
  <c r="Y102" i="6" s="1"/>
  <c r="L100" i="6"/>
  <c r="M100" i="6" s="1"/>
  <c r="O99" i="6"/>
  <c r="H103" i="6"/>
  <c r="G102" i="6"/>
  <c r="K101" i="6"/>
  <c r="I101" i="6"/>
  <c r="J101" i="6"/>
  <c r="Q104" i="6"/>
  <c r="R105" i="6"/>
  <c r="U103" i="6"/>
  <c r="T103" i="6"/>
  <c r="S103" i="6"/>
  <c r="X102" i="6" l="1"/>
  <c r="W103" i="6"/>
  <c r="Y103" i="6" s="1"/>
  <c r="L101" i="6"/>
  <c r="M101" i="6" s="1"/>
  <c r="N101" i="6" s="1"/>
  <c r="V103" i="6"/>
  <c r="O100" i="6"/>
  <c r="N100" i="6"/>
  <c r="K102" i="6"/>
  <c r="I102" i="6"/>
  <c r="J102" i="6"/>
  <c r="H104" i="6"/>
  <c r="G103" i="6"/>
  <c r="Q105" i="6"/>
  <c r="R106" i="6"/>
  <c r="T104" i="6"/>
  <c r="U104" i="6"/>
  <c r="S104" i="6"/>
  <c r="X103" i="6" l="1"/>
  <c r="W104" i="6"/>
  <c r="Y104" i="6" s="1"/>
  <c r="V104" i="6"/>
  <c r="L102" i="6"/>
  <c r="M102" i="6" s="1"/>
  <c r="O101" i="6"/>
  <c r="G104" i="6"/>
  <c r="H105" i="6"/>
  <c r="J103" i="6"/>
  <c r="K103" i="6"/>
  <c r="I103" i="6"/>
  <c r="S105" i="6"/>
  <c r="T105" i="6"/>
  <c r="U105" i="6"/>
  <c r="Q106" i="6"/>
  <c r="R107" i="6"/>
  <c r="W105" i="6" l="1"/>
  <c r="Y105" i="6" s="1"/>
  <c r="X104" i="6"/>
  <c r="V105" i="6"/>
  <c r="O102" i="6"/>
  <c r="N102" i="6"/>
  <c r="L103" i="6"/>
  <c r="M103" i="6" s="1"/>
  <c r="N103" i="6" s="1"/>
  <c r="G105" i="6"/>
  <c r="H106" i="6"/>
  <c r="J104" i="6"/>
  <c r="K104" i="6"/>
  <c r="I104" i="6"/>
  <c r="T106" i="6"/>
  <c r="S106" i="6"/>
  <c r="U106" i="6"/>
  <c r="Q107" i="6"/>
  <c r="R108" i="6"/>
  <c r="X105" i="6" l="1"/>
  <c r="L104" i="6"/>
  <c r="M104" i="6" s="1"/>
  <c r="N104" i="6" s="1"/>
  <c r="W106" i="6"/>
  <c r="Y106" i="6" s="1"/>
  <c r="X106" i="6"/>
  <c r="V106" i="6"/>
  <c r="W107" i="6" s="1"/>
  <c r="O103" i="6"/>
  <c r="H107" i="6"/>
  <c r="G106" i="6"/>
  <c r="K105" i="6"/>
  <c r="I105" i="6"/>
  <c r="J105" i="6"/>
  <c r="S107" i="6"/>
  <c r="U107" i="6"/>
  <c r="T107" i="6"/>
  <c r="Q108" i="6"/>
  <c r="R109" i="6"/>
  <c r="Y107" i="6" l="1"/>
  <c r="O104" i="6"/>
  <c r="V107" i="6"/>
  <c r="W108" i="6" s="1"/>
  <c r="Y108" i="6" s="1"/>
  <c r="L105" i="6"/>
  <c r="M105" i="6" s="1"/>
  <c r="N105" i="6" s="1"/>
  <c r="X107" i="6"/>
  <c r="I106" i="6"/>
  <c r="J106" i="6"/>
  <c r="K106" i="6"/>
  <c r="L106" i="6" s="1"/>
  <c r="M106" i="6" s="1"/>
  <c r="G107" i="6"/>
  <c r="H108" i="6"/>
  <c r="U108" i="6"/>
  <c r="T108" i="6"/>
  <c r="S108" i="6"/>
  <c r="Q109" i="6"/>
  <c r="R110" i="6"/>
  <c r="O105" i="6" l="1"/>
  <c r="O106" i="6" s="1"/>
  <c r="X108" i="6"/>
  <c r="V108" i="6"/>
  <c r="N106" i="6"/>
  <c r="K107" i="6"/>
  <c r="J107" i="6"/>
  <c r="I107" i="6"/>
  <c r="L107" i="6" s="1"/>
  <c r="M107" i="6" s="1"/>
  <c r="G108" i="6"/>
  <c r="H109" i="6"/>
  <c r="Q110" i="6"/>
  <c r="R111" i="6"/>
  <c r="T109" i="6"/>
  <c r="U109" i="6"/>
  <c r="W109" i="6" s="1"/>
  <c r="Y109" i="6" s="1"/>
  <c r="S109" i="6"/>
  <c r="V109" i="6" s="1"/>
  <c r="X109" i="6" l="1"/>
  <c r="N107" i="6"/>
  <c r="O107" i="6"/>
  <c r="J108" i="6"/>
  <c r="K108" i="6"/>
  <c r="I108" i="6"/>
  <c r="H110" i="6"/>
  <c r="G109" i="6"/>
  <c r="Q111" i="6"/>
  <c r="R112" i="6"/>
  <c r="U110" i="6"/>
  <c r="S110" i="6"/>
  <c r="T110" i="6"/>
  <c r="W110" i="6" l="1"/>
  <c r="Y110" i="6" s="1"/>
  <c r="X110" i="6"/>
  <c r="V110" i="6"/>
  <c r="L108" i="6"/>
  <c r="M108" i="6" s="1"/>
  <c r="N108" i="6" s="1"/>
  <c r="I109" i="6"/>
  <c r="J109" i="6"/>
  <c r="K109" i="6"/>
  <c r="H111" i="6"/>
  <c r="G110" i="6"/>
  <c r="R113" i="6"/>
  <c r="Q112" i="6"/>
  <c r="U111" i="6"/>
  <c r="T111" i="6"/>
  <c r="S111" i="6"/>
  <c r="W111" i="6" l="1"/>
  <c r="Y111" i="6" s="1"/>
  <c r="V111" i="6"/>
  <c r="L109" i="6"/>
  <c r="M109" i="6" s="1"/>
  <c r="O108" i="6"/>
  <c r="K110" i="6"/>
  <c r="I110" i="6"/>
  <c r="J110" i="6"/>
  <c r="G111" i="6"/>
  <c r="H112" i="6"/>
  <c r="S112" i="6"/>
  <c r="T112" i="6"/>
  <c r="U112" i="6"/>
  <c r="V112" i="6" s="1"/>
  <c r="Q113" i="6"/>
  <c r="R114" i="6"/>
  <c r="X111" i="6" l="1"/>
  <c r="W112" i="6"/>
  <c r="Y112" i="6" s="1"/>
  <c r="N109" i="6"/>
  <c r="O109" i="6"/>
  <c r="L110" i="6"/>
  <c r="M110" i="6" s="1"/>
  <c r="G112" i="6"/>
  <c r="H113" i="6"/>
  <c r="I111" i="6"/>
  <c r="J111" i="6"/>
  <c r="K111" i="6"/>
  <c r="R115" i="6"/>
  <c r="Q114" i="6"/>
  <c r="T113" i="6"/>
  <c r="S113" i="6"/>
  <c r="U113" i="6"/>
  <c r="X112" i="6" l="1"/>
  <c r="V113" i="6"/>
  <c r="W113" i="6"/>
  <c r="Y113" i="6" s="1"/>
  <c r="X113" i="6"/>
  <c r="O110" i="6"/>
  <c r="L111" i="6"/>
  <c r="M111" i="6" s="1"/>
  <c r="N110" i="6"/>
  <c r="H114" i="6"/>
  <c r="G113" i="6"/>
  <c r="K112" i="6"/>
  <c r="J112" i="6"/>
  <c r="I112" i="6"/>
  <c r="S114" i="6"/>
  <c r="T114" i="6"/>
  <c r="W114" i="6" s="1"/>
  <c r="U114" i="6"/>
  <c r="Q115" i="6"/>
  <c r="R116" i="6"/>
  <c r="Y114" i="6" l="1"/>
  <c r="L112" i="6"/>
  <c r="M112" i="6" s="1"/>
  <c r="N112" i="6" s="1"/>
  <c r="V114" i="6"/>
  <c r="N111" i="6"/>
  <c r="X114" i="6"/>
  <c r="O111" i="6"/>
  <c r="K113" i="6"/>
  <c r="J113" i="6"/>
  <c r="I113" i="6"/>
  <c r="H115" i="6"/>
  <c r="G114" i="6"/>
  <c r="U115" i="6"/>
  <c r="T115" i="6"/>
  <c r="S115" i="6"/>
  <c r="V115" i="6" s="1"/>
  <c r="Q116" i="6"/>
  <c r="R117" i="6"/>
  <c r="O112" i="6" l="1"/>
  <c r="W115" i="6"/>
  <c r="Y115" i="6" s="1"/>
  <c r="X115" i="6"/>
  <c r="L113" i="6"/>
  <c r="M113" i="6" s="1"/>
  <c r="G115" i="6"/>
  <c r="H116" i="6"/>
  <c r="K114" i="6"/>
  <c r="I114" i="6"/>
  <c r="J114" i="6"/>
  <c r="U116" i="6"/>
  <c r="S116" i="6"/>
  <c r="T116" i="6"/>
  <c r="R118" i="6"/>
  <c r="Q117" i="6"/>
  <c r="O113" i="6" l="1"/>
  <c r="V116" i="6"/>
  <c r="W116" i="6"/>
  <c r="Y116" i="6" s="1"/>
  <c r="X116" i="6"/>
  <c r="N113" i="6"/>
  <c r="L114" i="6"/>
  <c r="M114" i="6" s="1"/>
  <c r="N114" i="6" s="1"/>
  <c r="G116" i="6"/>
  <c r="H117" i="6"/>
  <c r="J115" i="6"/>
  <c r="K115" i="6"/>
  <c r="I115" i="6"/>
  <c r="T117" i="6"/>
  <c r="U117" i="6"/>
  <c r="W117" i="6"/>
  <c r="Y117" i="6" s="1"/>
  <c r="S117" i="6"/>
  <c r="X117" i="6" s="1"/>
  <c r="Q118" i="6"/>
  <c r="R119" i="6"/>
  <c r="L115" i="6" l="1"/>
  <c r="V117" i="6"/>
  <c r="O114" i="6"/>
  <c r="M115" i="6"/>
  <c r="N115" i="6" s="1"/>
  <c r="H118" i="6"/>
  <c r="G117" i="6"/>
  <c r="J116" i="6"/>
  <c r="I116" i="6"/>
  <c r="K116" i="6"/>
  <c r="S118" i="6"/>
  <c r="U118" i="6"/>
  <c r="T118" i="6"/>
  <c r="W118" i="6" s="1"/>
  <c r="Y118" i="6" s="1"/>
  <c r="Q119" i="6"/>
  <c r="R120" i="6"/>
  <c r="X118" i="6" l="1"/>
  <c r="V118" i="6"/>
  <c r="O115" i="6"/>
  <c r="L116" i="6"/>
  <c r="M116" i="6" s="1"/>
  <c r="J117" i="6"/>
  <c r="K117" i="6"/>
  <c r="I117" i="6"/>
  <c r="L117" i="6" s="1"/>
  <c r="H119" i="6"/>
  <c r="G118" i="6"/>
  <c r="U119" i="6"/>
  <c r="S119" i="6"/>
  <c r="T119" i="6"/>
  <c r="V119" i="6"/>
  <c r="R121" i="6"/>
  <c r="Q120" i="6"/>
  <c r="W119" i="6" l="1"/>
  <c r="Y119" i="6" s="1"/>
  <c r="X119" i="6"/>
  <c r="O116" i="6"/>
  <c r="N116" i="6"/>
  <c r="M117" i="6"/>
  <c r="N117" i="6" s="1"/>
  <c r="J118" i="6"/>
  <c r="I118" i="6"/>
  <c r="K118" i="6"/>
  <c r="G119" i="6"/>
  <c r="H120" i="6"/>
  <c r="T120" i="6"/>
  <c r="U120" i="6"/>
  <c r="W120" i="6" s="1"/>
  <c r="S120" i="6"/>
  <c r="V120" i="6" s="1"/>
  <c r="R122" i="6"/>
  <c r="Q121" i="6"/>
  <c r="Y120" i="6" l="1"/>
  <c r="L118" i="6"/>
  <c r="M118" i="6" s="1"/>
  <c r="N118" i="6" s="1"/>
  <c r="X120" i="6"/>
  <c r="O117" i="6"/>
  <c r="K119" i="6"/>
  <c r="I119" i="6"/>
  <c r="J119" i="6"/>
  <c r="H121" i="6"/>
  <c r="G120" i="6"/>
  <c r="S121" i="6"/>
  <c r="T121" i="6"/>
  <c r="U121" i="6"/>
  <c r="W121" i="6" s="1"/>
  <c r="Q122" i="6"/>
  <c r="R123" i="6"/>
  <c r="Y121" i="6" l="1"/>
  <c r="O118" i="6"/>
  <c r="L119" i="6"/>
  <c r="M119" i="6" s="1"/>
  <c r="N119" i="6" s="1"/>
  <c r="X121" i="6"/>
  <c r="V121" i="6"/>
  <c r="K120" i="6"/>
  <c r="I120" i="6"/>
  <c r="J120" i="6"/>
  <c r="G121" i="6"/>
  <c r="H122" i="6"/>
  <c r="R124" i="6"/>
  <c r="Q123" i="6"/>
  <c r="S122" i="6"/>
  <c r="U122" i="6"/>
  <c r="T122" i="6"/>
  <c r="V122" i="6" s="1"/>
  <c r="O119" i="6" l="1"/>
  <c r="W122" i="6"/>
  <c r="Y122" i="6" s="1"/>
  <c r="X122" i="6"/>
  <c r="L120" i="6"/>
  <c r="M120" i="6" s="1"/>
  <c r="H123" i="6"/>
  <c r="G122" i="6"/>
  <c r="I121" i="6"/>
  <c r="K121" i="6"/>
  <c r="J121" i="6"/>
  <c r="U123" i="6"/>
  <c r="S123" i="6"/>
  <c r="T123" i="6"/>
  <c r="V123" i="6"/>
  <c r="W123" i="6"/>
  <c r="R125" i="6"/>
  <c r="Q124" i="6"/>
  <c r="Y123" i="6" l="1"/>
  <c r="O120" i="6"/>
  <c r="L121" i="6"/>
  <c r="M121" i="6" s="1"/>
  <c r="N121" i="6" s="1"/>
  <c r="X123" i="6"/>
  <c r="N120" i="6"/>
  <c r="I122" i="6"/>
  <c r="J122" i="6"/>
  <c r="K122" i="6"/>
  <c r="L122" i="6" s="1"/>
  <c r="G123" i="6"/>
  <c r="H124" i="6"/>
  <c r="R126" i="6"/>
  <c r="Q125" i="6"/>
  <c r="S124" i="6"/>
  <c r="U124" i="6"/>
  <c r="W124" i="6" s="1"/>
  <c r="T124" i="6"/>
  <c r="Y124" i="6" l="1"/>
  <c r="X124" i="6"/>
  <c r="V124" i="6"/>
  <c r="O121" i="6"/>
  <c r="M122" i="6"/>
  <c r="N122" i="6" s="1"/>
  <c r="J123" i="6"/>
  <c r="I123" i="6"/>
  <c r="K123" i="6"/>
  <c r="L123" i="6" s="1"/>
  <c r="H125" i="6"/>
  <c r="G124" i="6"/>
  <c r="U125" i="6"/>
  <c r="T125" i="6"/>
  <c r="W125" i="6"/>
  <c r="S125" i="6"/>
  <c r="X125" i="6" s="1"/>
  <c r="Q126" i="6"/>
  <c r="R127" i="6"/>
  <c r="Y125" i="6" l="1"/>
  <c r="V125" i="6"/>
  <c r="O122" i="6"/>
  <c r="M123" i="6"/>
  <c r="J124" i="6"/>
  <c r="K124" i="6"/>
  <c r="I124" i="6"/>
  <c r="G125" i="6"/>
  <c r="H126" i="6"/>
  <c r="U126" i="6"/>
  <c r="T126" i="6"/>
  <c r="W126" i="6" s="1"/>
  <c r="S126" i="6"/>
  <c r="R128" i="6"/>
  <c r="Q127" i="6"/>
  <c r="Y126" i="6" l="1"/>
  <c r="X126" i="6"/>
  <c r="V126" i="6"/>
  <c r="O123" i="6"/>
  <c r="L124" i="6"/>
  <c r="M124" i="6" s="1"/>
  <c r="N124" i="6" s="1"/>
  <c r="N123" i="6"/>
  <c r="K125" i="6"/>
  <c r="I125" i="6"/>
  <c r="J125" i="6"/>
  <c r="H127" i="6"/>
  <c r="G126" i="6"/>
  <c r="R129" i="6"/>
  <c r="Q128" i="6"/>
  <c r="T127" i="6"/>
  <c r="S127" i="6"/>
  <c r="V127" i="6" s="1"/>
  <c r="U127" i="6"/>
  <c r="W127" i="6" l="1"/>
  <c r="Y127" i="6" s="1"/>
  <c r="L125" i="6"/>
  <c r="M125" i="6" s="1"/>
  <c r="N125" i="6" s="1"/>
  <c r="X127" i="6"/>
  <c r="O124" i="6"/>
  <c r="K126" i="6"/>
  <c r="I126" i="6"/>
  <c r="J126" i="6"/>
  <c r="H128" i="6"/>
  <c r="G127" i="6"/>
  <c r="U128" i="6"/>
  <c r="S128" i="6"/>
  <c r="T128" i="6"/>
  <c r="V128" i="6"/>
  <c r="W128" i="6"/>
  <c r="R130" i="6"/>
  <c r="Q129" i="6"/>
  <c r="Y128" i="6" l="1"/>
  <c r="L126" i="6"/>
  <c r="M126" i="6" s="1"/>
  <c r="N126" i="6" s="1"/>
  <c r="O125" i="6"/>
  <c r="X128" i="6"/>
  <c r="K127" i="6"/>
  <c r="I127" i="6"/>
  <c r="J127" i="6"/>
  <c r="G128" i="6"/>
  <c r="H129" i="6"/>
  <c r="U129" i="6"/>
  <c r="T129" i="6"/>
  <c r="W129" i="6"/>
  <c r="S129" i="6"/>
  <c r="X129" i="6" s="1"/>
  <c r="V129" i="6"/>
  <c r="Q130" i="6"/>
  <c r="R131" i="6"/>
  <c r="O126" i="6" l="1"/>
  <c r="Y129" i="6"/>
  <c r="L127" i="6"/>
  <c r="M127" i="6" s="1"/>
  <c r="J128" i="6"/>
  <c r="K128" i="6"/>
  <c r="I128" i="6"/>
  <c r="G129" i="6"/>
  <c r="H130" i="6"/>
  <c r="R132" i="6"/>
  <c r="Q131" i="6"/>
  <c r="S130" i="6"/>
  <c r="T130" i="6"/>
  <c r="U130" i="6"/>
  <c r="V130" i="6" s="1"/>
  <c r="O127" i="6" l="1"/>
  <c r="N127" i="6"/>
  <c r="W130" i="6"/>
  <c r="Y130" i="6" s="1"/>
  <c r="X130" i="6"/>
  <c r="L128" i="6"/>
  <c r="M128" i="6" s="1"/>
  <c r="G130" i="6"/>
  <c r="H131" i="6"/>
  <c r="K129" i="6"/>
  <c r="J129" i="6"/>
  <c r="I129" i="6"/>
  <c r="S131" i="6"/>
  <c r="T131" i="6"/>
  <c r="U131" i="6"/>
  <c r="W131" i="6" s="1"/>
  <c r="Y131" i="6" s="1"/>
  <c r="V131" i="6"/>
  <c r="Q132" i="6"/>
  <c r="R133" i="6"/>
  <c r="O128" i="6" l="1"/>
  <c r="L129" i="6"/>
  <c r="M129" i="6" s="1"/>
  <c r="N128" i="6"/>
  <c r="X131" i="6"/>
  <c r="H132" i="6"/>
  <c r="G131" i="6"/>
  <c r="K130" i="6"/>
  <c r="J130" i="6"/>
  <c r="I130" i="6"/>
  <c r="S132" i="6"/>
  <c r="T132" i="6"/>
  <c r="U132" i="6"/>
  <c r="W132" i="6" s="1"/>
  <c r="Y132" i="6" s="1"/>
  <c r="R134" i="6"/>
  <c r="Q133" i="6"/>
  <c r="O129" i="6" l="1"/>
  <c r="N129" i="6"/>
  <c r="L130" i="6"/>
  <c r="M130" i="6" s="1"/>
  <c r="N130" i="6" s="1"/>
  <c r="X132" i="6"/>
  <c r="V132" i="6"/>
  <c r="K131" i="6"/>
  <c r="J131" i="6"/>
  <c r="I131" i="6"/>
  <c r="G132" i="6"/>
  <c r="H133" i="6"/>
  <c r="Q134" i="6"/>
  <c r="R135" i="6"/>
  <c r="T133" i="6"/>
  <c r="U133" i="6"/>
  <c r="W133" i="6" s="1"/>
  <c r="Y133" i="6" s="1"/>
  <c r="S133" i="6"/>
  <c r="O130" i="6" l="1"/>
  <c r="X133" i="6"/>
  <c r="V133" i="6"/>
  <c r="L131" i="6"/>
  <c r="M131" i="6" s="1"/>
  <c r="G133" i="6"/>
  <c r="H134" i="6"/>
  <c r="K132" i="6"/>
  <c r="I132" i="6"/>
  <c r="J132" i="6"/>
  <c r="R136" i="6"/>
  <c r="Q135" i="6"/>
  <c r="T134" i="6"/>
  <c r="S134" i="6"/>
  <c r="U134" i="6"/>
  <c r="V134" i="6" s="1"/>
  <c r="L132" i="6" l="1"/>
  <c r="M132" i="6" s="1"/>
  <c r="O131" i="6"/>
  <c r="W134" i="6"/>
  <c r="Y134" i="6" s="1"/>
  <c r="X134" i="6"/>
  <c r="N131" i="6"/>
  <c r="H135" i="6"/>
  <c r="G134" i="6"/>
  <c r="J133" i="6"/>
  <c r="L133" i="6" s="1"/>
  <c r="M133" i="6" s="1"/>
  <c r="K133" i="6"/>
  <c r="I133" i="6"/>
  <c r="U135" i="6"/>
  <c r="T135" i="6"/>
  <c r="S135" i="6"/>
  <c r="X135" i="6" s="1"/>
  <c r="W135" i="6"/>
  <c r="V135" i="6"/>
  <c r="R137" i="6"/>
  <c r="Q136" i="6"/>
  <c r="Y135" i="6" l="1"/>
  <c r="O132" i="6"/>
  <c r="O133" i="6" s="1"/>
  <c r="N132" i="6"/>
  <c r="N133" i="6"/>
  <c r="I134" i="6"/>
  <c r="K134" i="6"/>
  <c r="J134" i="6"/>
  <c r="L134" i="6" s="1"/>
  <c r="M134" i="6" s="1"/>
  <c r="G135" i="6"/>
  <c r="H136" i="6"/>
  <c r="T136" i="6"/>
  <c r="S136" i="6"/>
  <c r="U136" i="6"/>
  <c r="W136" i="6" s="1"/>
  <c r="Q137" i="6"/>
  <c r="R138" i="6"/>
  <c r="Y136" i="6" l="1"/>
  <c r="V136" i="6"/>
  <c r="X136" i="6"/>
  <c r="N134" i="6"/>
  <c r="O134" i="6"/>
  <c r="H137" i="6"/>
  <c r="G136" i="6"/>
  <c r="I135" i="6"/>
  <c r="L135" i="6" s="1"/>
  <c r="M135" i="6" s="1"/>
  <c r="K135" i="6"/>
  <c r="J135" i="6"/>
  <c r="T137" i="6"/>
  <c r="S137" i="6"/>
  <c r="U137" i="6"/>
  <c r="W137" i="6" s="1"/>
  <c r="Q138" i="6"/>
  <c r="R139" i="6"/>
  <c r="Y137" i="6" l="1"/>
  <c r="X137" i="6"/>
  <c r="V137" i="6"/>
  <c r="N135" i="6"/>
  <c r="O135" i="6"/>
  <c r="J136" i="6"/>
  <c r="I136" i="6"/>
  <c r="K136" i="6"/>
  <c r="H138" i="6"/>
  <c r="G137" i="6"/>
  <c r="Q139" i="6"/>
  <c r="R140" i="6"/>
  <c r="S138" i="6"/>
  <c r="T138" i="6"/>
  <c r="U138" i="6"/>
  <c r="W138" i="6" s="1"/>
  <c r="Y138" i="6" l="1"/>
  <c r="V138" i="6"/>
  <c r="X138" i="6"/>
  <c r="L136" i="6"/>
  <c r="M136" i="6" s="1"/>
  <c r="N136" i="6" s="1"/>
  <c r="G138" i="6"/>
  <c r="H139" i="6"/>
  <c r="J137" i="6"/>
  <c r="I137" i="6"/>
  <c r="L137" i="6" s="1"/>
  <c r="K137" i="6"/>
  <c r="T139" i="6"/>
  <c r="S139" i="6"/>
  <c r="U139" i="6"/>
  <c r="W139" i="6" s="1"/>
  <c r="Q140" i="6"/>
  <c r="R141" i="6"/>
  <c r="Y139" i="6" l="1"/>
  <c r="V139" i="6"/>
  <c r="X139" i="6"/>
  <c r="M137" i="6"/>
  <c r="N137" i="6" s="1"/>
  <c r="O136" i="6"/>
  <c r="H140" i="6"/>
  <c r="G139" i="6"/>
  <c r="I138" i="6"/>
  <c r="K138" i="6"/>
  <c r="J138" i="6"/>
  <c r="U140" i="6"/>
  <c r="T140" i="6"/>
  <c r="S140" i="6"/>
  <c r="Q141" i="6"/>
  <c r="R142" i="6"/>
  <c r="W140" i="6" l="1"/>
  <c r="Y140" i="6" s="1"/>
  <c r="L138" i="6"/>
  <c r="X140" i="6"/>
  <c r="V140" i="6"/>
  <c r="M138" i="6"/>
  <c r="N138" i="6" s="1"/>
  <c r="O137" i="6"/>
  <c r="J139" i="6"/>
  <c r="K139" i="6"/>
  <c r="I139" i="6"/>
  <c r="G140" i="6"/>
  <c r="H141" i="6"/>
  <c r="T141" i="6"/>
  <c r="U141" i="6"/>
  <c r="W141" i="6" s="1"/>
  <c r="S141" i="6"/>
  <c r="V141" i="6"/>
  <c r="Q142" i="6"/>
  <c r="R143" i="6"/>
  <c r="Y141" i="6" l="1"/>
  <c r="L139" i="6"/>
  <c r="X141" i="6"/>
  <c r="O138" i="6"/>
  <c r="M139" i="6"/>
  <c r="N139" i="6"/>
  <c r="G141" i="6"/>
  <c r="H142" i="6"/>
  <c r="I140" i="6"/>
  <c r="J140" i="6"/>
  <c r="K140" i="6"/>
  <c r="Q143" i="6"/>
  <c r="R144" i="6"/>
  <c r="U142" i="6"/>
  <c r="T142" i="6"/>
  <c r="S142" i="6"/>
  <c r="W142" i="6" l="1"/>
  <c r="Y142" i="6" s="1"/>
  <c r="L140" i="6"/>
  <c r="X142" i="6"/>
  <c r="V142" i="6"/>
  <c r="O139" i="6"/>
  <c r="M140" i="6"/>
  <c r="H143" i="6"/>
  <c r="G142" i="6"/>
  <c r="J141" i="6"/>
  <c r="I141" i="6"/>
  <c r="K141" i="6"/>
  <c r="S143" i="6"/>
  <c r="T143" i="6"/>
  <c r="U143" i="6"/>
  <c r="W143" i="6"/>
  <c r="V143" i="6"/>
  <c r="Q144" i="6"/>
  <c r="R145" i="6"/>
  <c r="Y143" i="6" l="1"/>
  <c r="L141" i="6"/>
  <c r="X143" i="6"/>
  <c r="O140" i="6"/>
  <c r="M141" i="6"/>
  <c r="N141" i="6" s="1"/>
  <c r="N140" i="6"/>
  <c r="K142" i="6"/>
  <c r="J142" i="6"/>
  <c r="I142" i="6"/>
  <c r="L142" i="6" s="1"/>
  <c r="H144" i="6"/>
  <c r="G143" i="6"/>
  <c r="U144" i="6"/>
  <c r="T144" i="6"/>
  <c r="W144" i="6"/>
  <c r="S144" i="6"/>
  <c r="X144" i="6" s="1"/>
  <c r="Q145" i="6"/>
  <c r="R146" i="6"/>
  <c r="Y144" i="6" l="1"/>
  <c r="V144" i="6"/>
  <c r="M142" i="6"/>
  <c r="N142" i="6"/>
  <c r="O141" i="6"/>
  <c r="K143" i="6"/>
  <c r="J143" i="6"/>
  <c r="I143" i="6"/>
  <c r="L143" i="6" s="1"/>
  <c r="G144" i="6"/>
  <c r="H145" i="6"/>
  <c r="U145" i="6"/>
  <c r="S145" i="6"/>
  <c r="T145" i="6"/>
  <c r="W145" i="6" s="1"/>
  <c r="V145" i="6"/>
  <c r="R147" i="6"/>
  <c r="Q146" i="6"/>
  <c r="Y145" i="6" l="1"/>
  <c r="M143" i="6"/>
  <c r="X145" i="6"/>
  <c r="N143" i="6"/>
  <c r="O142" i="6"/>
  <c r="J144" i="6"/>
  <c r="I144" i="6"/>
  <c r="K144" i="6"/>
  <c r="L144" i="6" s="1"/>
  <c r="M144" i="6" s="1"/>
  <c r="H146" i="6"/>
  <c r="G145" i="6"/>
  <c r="Q147" i="6"/>
  <c r="R148" i="6"/>
  <c r="S146" i="6"/>
  <c r="T146" i="6"/>
  <c r="U146" i="6"/>
  <c r="W146" i="6" s="1"/>
  <c r="Y146" i="6" l="1"/>
  <c r="O143" i="6"/>
  <c r="O144" i="6" s="1"/>
  <c r="V146" i="6"/>
  <c r="X146" i="6"/>
  <c r="N144" i="6"/>
  <c r="G146" i="6"/>
  <c r="H147" i="6"/>
  <c r="I145" i="6"/>
  <c r="J145" i="6"/>
  <c r="L145" i="6" s="1"/>
  <c r="M145" i="6" s="1"/>
  <c r="K145" i="6"/>
  <c r="R149" i="6"/>
  <c r="Q148" i="6"/>
  <c r="U147" i="6"/>
  <c r="S147" i="6"/>
  <c r="T147" i="6"/>
  <c r="V147" i="6" s="1"/>
  <c r="W147" i="6" l="1"/>
  <c r="Y147" i="6" s="1"/>
  <c r="X147" i="6"/>
  <c r="N145" i="6"/>
  <c r="O145" i="6"/>
  <c r="H148" i="6"/>
  <c r="G147" i="6"/>
  <c r="I146" i="6"/>
  <c r="K146" i="6"/>
  <c r="J146" i="6"/>
  <c r="S148" i="6"/>
  <c r="T148" i="6"/>
  <c r="U148" i="6"/>
  <c r="V148" i="6" s="1"/>
  <c r="W148" i="6"/>
  <c r="R150" i="6"/>
  <c r="Q149" i="6"/>
  <c r="Y148" i="6" l="1"/>
  <c r="L146" i="6"/>
  <c r="M146" i="6" s="1"/>
  <c r="O146" i="6" s="1"/>
  <c r="X148" i="6"/>
  <c r="N146" i="6"/>
  <c r="I147" i="6"/>
  <c r="J147" i="6"/>
  <c r="K147" i="6"/>
  <c r="G148" i="6"/>
  <c r="H149" i="6"/>
  <c r="S149" i="6"/>
  <c r="T149" i="6"/>
  <c r="V149" i="6" s="1"/>
  <c r="U149" i="6"/>
  <c r="W149" i="6"/>
  <c r="R151" i="6"/>
  <c r="Q150" i="6"/>
  <c r="Y149" i="6" l="1"/>
  <c r="L147" i="6"/>
  <c r="M147" i="6" s="1"/>
  <c r="O147" i="6" s="1"/>
  <c r="X149" i="6"/>
  <c r="N147" i="6"/>
  <c r="I148" i="6"/>
  <c r="K148" i="6"/>
  <c r="J148" i="6"/>
  <c r="G149" i="6"/>
  <c r="H150" i="6"/>
  <c r="T150" i="6"/>
  <c r="U150" i="6"/>
  <c r="W150" i="6" s="1"/>
  <c r="S150" i="6"/>
  <c r="Q151" i="6"/>
  <c r="R152" i="6"/>
  <c r="Y150" i="6" l="1"/>
  <c r="X150" i="6"/>
  <c r="V150" i="6"/>
  <c r="L148" i="6"/>
  <c r="M148" i="6" s="1"/>
  <c r="N148" i="6" s="1"/>
  <c r="K149" i="6"/>
  <c r="J149" i="6"/>
  <c r="I149" i="6"/>
  <c r="L149" i="6" s="1"/>
  <c r="G150" i="6"/>
  <c r="H151" i="6"/>
  <c r="T151" i="6"/>
  <c r="U151" i="6"/>
  <c r="W151" i="6" s="1"/>
  <c r="S151" i="6"/>
  <c r="Q152" i="6"/>
  <c r="R153" i="6"/>
  <c r="Y151" i="6" l="1"/>
  <c r="X151" i="6"/>
  <c r="V151" i="6"/>
  <c r="M149" i="6"/>
  <c r="N149" i="6" s="1"/>
  <c r="O148" i="6"/>
  <c r="G151" i="6"/>
  <c r="H152" i="6"/>
  <c r="J150" i="6"/>
  <c r="K150" i="6"/>
  <c r="I150" i="6"/>
  <c r="L150" i="6" s="1"/>
  <c r="Q153" i="6"/>
  <c r="R154" i="6"/>
  <c r="U152" i="6"/>
  <c r="S152" i="6"/>
  <c r="T152" i="6"/>
  <c r="V152" i="6" s="1"/>
  <c r="W152" i="6" l="1"/>
  <c r="Y152" i="6" s="1"/>
  <c r="X152" i="6"/>
  <c r="O149" i="6"/>
  <c r="M150" i="6"/>
  <c r="N150" i="6"/>
  <c r="G152" i="6"/>
  <c r="H153" i="6"/>
  <c r="I151" i="6"/>
  <c r="J151" i="6"/>
  <c r="K151" i="6"/>
  <c r="Q154" i="6"/>
  <c r="R155" i="6"/>
  <c r="S153" i="6"/>
  <c r="T153" i="6"/>
  <c r="U153" i="6"/>
  <c r="V153" i="6" s="1"/>
  <c r="L151" i="6" l="1"/>
  <c r="M151" i="6" s="1"/>
  <c r="W153" i="6"/>
  <c r="Y153" i="6" s="1"/>
  <c r="X153" i="6"/>
  <c r="O150" i="6"/>
  <c r="N151" i="6"/>
  <c r="G153" i="6"/>
  <c r="H154" i="6"/>
  <c r="K152" i="6"/>
  <c r="J152" i="6"/>
  <c r="I152" i="6"/>
  <c r="S154" i="6"/>
  <c r="T154" i="6"/>
  <c r="V154" i="6" s="1"/>
  <c r="U154" i="6"/>
  <c r="W154" i="6" s="1"/>
  <c r="R156" i="6"/>
  <c r="Q155" i="6"/>
  <c r="Y154" i="6" l="1"/>
  <c r="O151" i="6"/>
  <c r="X154" i="6"/>
  <c r="L152" i="6"/>
  <c r="M152" i="6" s="1"/>
  <c r="H155" i="6"/>
  <c r="G154" i="6"/>
  <c r="J153" i="6"/>
  <c r="I153" i="6"/>
  <c r="L153" i="6" s="1"/>
  <c r="M153" i="6" s="1"/>
  <c r="K153" i="6"/>
  <c r="R157" i="6"/>
  <c r="Q156" i="6"/>
  <c r="U155" i="6"/>
  <c r="T155" i="6"/>
  <c r="W155" i="6"/>
  <c r="S155" i="6"/>
  <c r="X155" i="6" s="1"/>
  <c r="Y155" i="6" l="1"/>
  <c r="O152" i="6"/>
  <c r="O153" i="6" s="1"/>
  <c r="N152" i="6"/>
  <c r="V155" i="6"/>
  <c r="N153" i="6"/>
  <c r="I154" i="6"/>
  <c r="L154" i="6" s="1"/>
  <c r="M154" i="6" s="1"/>
  <c r="J154" i="6"/>
  <c r="K154" i="6"/>
  <c r="G155" i="6"/>
  <c r="H156" i="6"/>
  <c r="Q157" i="6"/>
  <c r="R158" i="6"/>
  <c r="U156" i="6"/>
  <c r="T156" i="6"/>
  <c r="S156" i="6"/>
  <c r="W156" i="6"/>
  <c r="V156" i="6"/>
  <c r="Y156" i="6" l="1"/>
  <c r="X156" i="6"/>
  <c r="N154" i="6"/>
  <c r="O154" i="6"/>
  <c r="H157" i="6"/>
  <c r="G156" i="6"/>
  <c r="J155" i="6"/>
  <c r="I155" i="6"/>
  <c r="K155" i="6"/>
  <c r="Q158" i="6"/>
  <c r="R159" i="6"/>
  <c r="T157" i="6"/>
  <c r="U157" i="6"/>
  <c r="W157" i="6"/>
  <c r="S157" i="6"/>
  <c r="X157" i="6" s="1"/>
  <c r="Y157" i="6" l="1"/>
  <c r="V157" i="6"/>
  <c r="L155" i="6"/>
  <c r="M155" i="6" s="1"/>
  <c r="O155" i="6" s="1"/>
  <c r="I156" i="6"/>
  <c r="K156" i="6"/>
  <c r="J156" i="6"/>
  <c r="L156" i="6" s="1"/>
  <c r="G157" i="6"/>
  <c r="H158" i="6"/>
  <c r="R160" i="6"/>
  <c r="Q159" i="6"/>
  <c r="T158" i="6"/>
  <c r="S158" i="6"/>
  <c r="U158" i="6"/>
  <c r="V158" i="6" s="1"/>
  <c r="N155" i="6" l="1"/>
  <c r="W158" i="6"/>
  <c r="Y158" i="6" s="1"/>
  <c r="M156" i="6"/>
  <c r="N156" i="6" s="1"/>
  <c r="H159" i="6"/>
  <c r="G158" i="6"/>
  <c r="K157" i="6"/>
  <c r="J157" i="6"/>
  <c r="I157" i="6"/>
  <c r="Q160" i="6"/>
  <c r="R161" i="6"/>
  <c r="S159" i="6"/>
  <c r="T159" i="6"/>
  <c r="U159" i="6"/>
  <c r="V159" i="6" s="1"/>
  <c r="W159" i="6" l="1"/>
  <c r="Y159" i="6" s="1"/>
  <c r="X159" i="6"/>
  <c r="X158" i="6"/>
  <c r="O156" i="6"/>
  <c r="L157" i="6"/>
  <c r="M157" i="6" s="1"/>
  <c r="J158" i="6"/>
  <c r="K158" i="6"/>
  <c r="I158" i="6"/>
  <c r="G159" i="6"/>
  <c r="H160" i="6"/>
  <c r="W160" i="6"/>
  <c r="S160" i="6"/>
  <c r="X160" i="6" s="1"/>
  <c r="V160" i="6"/>
  <c r="T160" i="6"/>
  <c r="U160" i="6"/>
  <c r="R162" i="6"/>
  <c r="Q161" i="6"/>
  <c r="Y160" i="6" l="1"/>
  <c r="O157" i="6"/>
  <c r="L158" i="6"/>
  <c r="M158" i="6" s="1"/>
  <c r="N157" i="6"/>
  <c r="K159" i="6"/>
  <c r="I159" i="6"/>
  <c r="L159" i="6" s="1"/>
  <c r="J159" i="6"/>
  <c r="H161" i="6"/>
  <c r="G160" i="6"/>
  <c r="Q162" i="6"/>
  <c r="R163" i="6"/>
  <c r="T161" i="6"/>
  <c r="W161" i="6"/>
  <c r="U161" i="6"/>
  <c r="V161" i="6"/>
  <c r="S161" i="6"/>
  <c r="X161" i="6" s="1"/>
  <c r="Y161" i="6" l="1"/>
  <c r="N158" i="6"/>
  <c r="O158" i="6"/>
  <c r="M159" i="6"/>
  <c r="N159" i="6" s="1"/>
  <c r="J160" i="6"/>
  <c r="K160" i="6"/>
  <c r="I160" i="6"/>
  <c r="L160" i="6" s="1"/>
  <c r="M160" i="6" s="1"/>
  <c r="G161" i="6"/>
  <c r="H162" i="6"/>
  <c r="Q163" i="6"/>
  <c r="R164" i="6"/>
  <c r="V162" i="6"/>
  <c r="T162" i="6"/>
  <c r="U162" i="6"/>
  <c r="S162" i="6"/>
  <c r="X162" i="6" s="1"/>
  <c r="W162" i="6"/>
  <c r="Y162" i="6" l="1"/>
  <c r="O159" i="6"/>
  <c r="O160" i="6" s="1"/>
  <c r="N160" i="6"/>
  <c r="H163" i="6"/>
  <c r="G162" i="6"/>
  <c r="I161" i="6"/>
  <c r="J161" i="6"/>
  <c r="K161" i="6"/>
  <c r="V163" i="6"/>
  <c r="U163" i="6"/>
  <c r="S163" i="6"/>
  <c r="X163" i="6" s="1"/>
  <c r="T163" i="6"/>
  <c r="W163" i="6"/>
  <c r="R165" i="6"/>
  <c r="Q164" i="6"/>
  <c r="Y163" i="6" l="1"/>
  <c r="L161" i="6"/>
  <c r="M161" i="6" s="1"/>
  <c r="N161" i="6" s="1"/>
  <c r="I162" i="6"/>
  <c r="J162" i="6"/>
  <c r="K162" i="6"/>
  <c r="G163" i="6"/>
  <c r="H164" i="6"/>
  <c r="Q165" i="6"/>
  <c r="R166" i="6"/>
  <c r="T164" i="6"/>
  <c r="U164" i="6"/>
  <c r="W164" i="6"/>
  <c r="S164" i="6"/>
  <c r="X164" i="6" s="1"/>
  <c r="V164" i="6"/>
  <c r="Y164" i="6" l="1"/>
  <c r="L162" i="6"/>
  <c r="M162" i="6" s="1"/>
  <c r="N162" i="6" s="1"/>
  <c r="O161" i="6"/>
  <c r="G164" i="6"/>
  <c r="H165" i="6"/>
  <c r="K163" i="6"/>
  <c r="J163" i="6"/>
  <c r="I163" i="6"/>
  <c r="Q166" i="6"/>
  <c r="R167" i="6"/>
  <c r="T165" i="6"/>
  <c r="W165" i="6"/>
  <c r="U165" i="6"/>
  <c r="S165" i="6"/>
  <c r="X165" i="6" s="1"/>
  <c r="V165" i="6"/>
  <c r="Y165" i="6" l="1"/>
  <c r="L163" i="6"/>
  <c r="O162" i="6"/>
  <c r="M163" i="6"/>
  <c r="H166" i="6"/>
  <c r="G165" i="6"/>
  <c r="I164" i="6"/>
  <c r="K164" i="6"/>
  <c r="J164" i="6"/>
  <c r="L164" i="6" s="1"/>
  <c r="R168" i="6"/>
  <c r="Q167" i="6"/>
  <c r="U166" i="6"/>
  <c r="S166" i="6"/>
  <c r="X166" i="6" s="1"/>
  <c r="T166" i="6"/>
  <c r="W166" i="6"/>
  <c r="V166" i="6"/>
  <c r="Y166" i="6" l="1"/>
  <c r="O163" i="6"/>
  <c r="M164" i="6"/>
  <c r="N164" i="6" s="1"/>
  <c r="N163" i="6"/>
  <c r="K165" i="6"/>
  <c r="I165" i="6"/>
  <c r="J165" i="6"/>
  <c r="G166" i="6"/>
  <c r="H167" i="6"/>
  <c r="U167" i="6"/>
  <c r="S167" i="6"/>
  <c r="X167" i="6" s="1"/>
  <c r="T167" i="6"/>
  <c r="W167" i="6"/>
  <c r="V167" i="6"/>
  <c r="Q168" i="6"/>
  <c r="R169" i="6"/>
  <c r="Y167" i="6" l="1"/>
  <c r="O164" i="6"/>
  <c r="L165" i="6"/>
  <c r="M165" i="6" s="1"/>
  <c r="K166" i="6"/>
  <c r="I166" i="6"/>
  <c r="J166" i="6"/>
  <c r="L166" i="6" s="1"/>
  <c r="G167" i="6"/>
  <c r="H168" i="6"/>
  <c r="T168" i="6"/>
  <c r="W168" i="6"/>
  <c r="S168" i="6"/>
  <c r="X168" i="6" s="1"/>
  <c r="U168" i="6"/>
  <c r="V168" i="6"/>
  <c r="Q169" i="6"/>
  <c r="R170" i="6"/>
  <c r="Y168" i="6" l="1"/>
  <c r="O165" i="6"/>
  <c r="N165" i="6"/>
  <c r="M166" i="6"/>
  <c r="N166" i="6" s="1"/>
  <c r="H169" i="6"/>
  <c r="G168" i="6"/>
  <c r="J167" i="6"/>
  <c r="L167" i="6"/>
  <c r="M167" i="6" s="1"/>
  <c r="K167" i="6"/>
  <c r="I167" i="6"/>
  <c r="W169" i="6"/>
  <c r="V169" i="6"/>
  <c r="T169" i="6"/>
  <c r="S169" i="6"/>
  <c r="X169" i="6" s="1"/>
  <c r="U169" i="6"/>
  <c r="R171" i="6"/>
  <c r="Q170" i="6"/>
  <c r="Y169" i="6" l="1"/>
  <c r="O166" i="6"/>
  <c r="O167" i="6" s="1"/>
  <c r="N167" i="6"/>
  <c r="J168" i="6"/>
  <c r="K168" i="6"/>
  <c r="I168" i="6"/>
  <c r="L168" i="6" s="1"/>
  <c r="M168" i="6" s="1"/>
  <c r="H170" i="6"/>
  <c r="G169" i="6"/>
  <c r="Q171" i="6"/>
  <c r="R172" i="6"/>
  <c r="V170" i="6"/>
  <c r="S170" i="6"/>
  <c r="X170" i="6" s="1"/>
  <c r="U170" i="6"/>
  <c r="T170" i="6"/>
  <c r="W170" i="6"/>
  <c r="Y170" i="6" l="1"/>
  <c r="N168" i="6"/>
  <c r="O168" i="6"/>
  <c r="G170" i="6"/>
  <c r="H171" i="6"/>
  <c r="K169" i="6"/>
  <c r="I169" i="6"/>
  <c r="J169" i="6"/>
  <c r="R173" i="6"/>
  <c r="Q172" i="6"/>
  <c r="W171" i="6"/>
  <c r="V171" i="6"/>
  <c r="S171" i="6"/>
  <c r="X171" i="6" s="1"/>
  <c r="T171" i="6"/>
  <c r="U171" i="6"/>
  <c r="Y171" i="6" l="1"/>
  <c r="L169" i="6"/>
  <c r="M169" i="6" s="1"/>
  <c r="N169" i="6" s="1"/>
  <c r="G171" i="6"/>
  <c r="H172" i="6"/>
  <c r="I170" i="6"/>
  <c r="J170" i="6"/>
  <c r="K170" i="6"/>
  <c r="L170" i="6" s="1"/>
  <c r="M170" i="6" s="1"/>
  <c r="Q173" i="6"/>
  <c r="R174" i="6"/>
  <c r="W172" i="6"/>
  <c r="S172" i="6"/>
  <c r="X172" i="6" s="1"/>
  <c r="T172" i="6"/>
  <c r="V172" i="6"/>
  <c r="U172" i="6"/>
  <c r="Y172" i="6" l="1"/>
  <c r="O169" i="6"/>
  <c r="O170" i="6" s="1"/>
  <c r="N170" i="6"/>
  <c r="G172" i="6"/>
  <c r="H173" i="6"/>
  <c r="J171" i="6"/>
  <c r="I171" i="6"/>
  <c r="K171" i="6"/>
  <c r="S173" i="6"/>
  <c r="X173" i="6" s="1"/>
  <c r="T173" i="6"/>
  <c r="V173" i="6"/>
  <c r="U173" i="6"/>
  <c r="W173" i="6"/>
  <c r="R175" i="6"/>
  <c r="Q174" i="6"/>
  <c r="Y173" i="6" l="1"/>
  <c r="L171" i="6"/>
  <c r="M171" i="6" s="1"/>
  <c r="O171" i="6" s="1"/>
  <c r="G173" i="6"/>
  <c r="H174" i="6"/>
  <c r="J172" i="6"/>
  <c r="I172" i="6"/>
  <c r="K172" i="6"/>
  <c r="Q175" i="6"/>
  <c r="R176" i="6"/>
  <c r="S174" i="6"/>
  <c r="X174" i="6" s="1"/>
  <c r="V174" i="6"/>
  <c r="W174" i="6"/>
  <c r="T174" i="6"/>
  <c r="U174" i="6"/>
  <c r="Y174" i="6" l="1"/>
  <c r="L172" i="6"/>
  <c r="M172" i="6"/>
  <c r="O172" i="6" s="1"/>
  <c r="N172" i="6"/>
  <c r="N171" i="6"/>
  <c r="G174" i="6"/>
  <c r="H175" i="6"/>
  <c r="I173" i="6"/>
  <c r="K173" i="6"/>
  <c r="J173" i="6"/>
  <c r="R177" i="6"/>
  <c r="Q176" i="6"/>
  <c r="T175" i="6"/>
  <c r="W175" i="6"/>
  <c r="U175" i="6"/>
  <c r="V175" i="6"/>
  <c r="S175" i="6"/>
  <c r="X175" i="6" s="1"/>
  <c r="Y175" i="6" l="1"/>
  <c r="L173" i="6"/>
  <c r="M173" i="6" s="1"/>
  <c r="N173" i="6" s="1"/>
  <c r="H176" i="6"/>
  <c r="G175" i="6"/>
  <c r="J174" i="6"/>
  <c r="K174" i="6"/>
  <c r="I174" i="6"/>
  <c r="W176" i="6"/>
  <c r="S176" i="6"/>
  <c r="X176" i="6" s="1"/>
  <c r="T176" i="6"/>
  <c r="U176" i="6"/>
  <c r="V176" i="6"/>
  <c r="R178" i="6"/>
  <c r="Q177" i="6"/>
  <c r="Y176" i="6" l="1"/>
  <c r="L174" i="6"/>
  <c r="M174" i="6"/>
  <c r="N174" i="6" s="1"/>
  <c r="O173" i="6"/>
  <c r="K175" i="6"/>
  <c r="I175" i="6"/>
  <c r="J175" i="6"/>
  <c r="L175" i="6"/>
  <c r="G176" i="6"/>
  <c r="H177" i="6"/>
  <c r="R179" i="6"/>
  <c r="Q178" i="6"/>
  <c r="W177" i="6"/>
  <c r="U177" i="6"/>
  <c r="T177" i="6"/>
  <c r="S177" i="6"/>
  <c r="X177" i="6" s="1"/>
  <c r="V177" i="6"/>
  <c r="Y177" i="6" l="1"/>
  <c r="O174" i="6"/>
  <c r="M175" i="6"/>
  <c r="I176" i="6"/>
  <c r="K176" i="6"/>
  <c r="J176" i="6"/>
  <c r="H178" i="6"/>
  <c r="G177" i="6"/>
  <c r="U178" i="6"/>
  <c r="V178" i="6"/>
  <c r="T178" i="6"/>
  <c r="W178" i="6"/>
  <c r="S178" i="6"/>
  <c r="X178" i="6" s="1"/>
  <c r="R180" i="6"/>
  <c r="Q179" i="6"/>
  <c r="Y178" i="6" l="1"/>
  <c r="O175" i="6"/>
  <c r="L176" i="6"/>
  <c r="M176" i="6"/>
  <c r="N176" i="6" s="1"/>
  <c r="N175" i="6"/>
  <c r="K177" i="6"/>
  <c r="J177" i="6"/>
  <c r="I177" i="6"/>
  <c r="H179" i="6"/>
  <c r="G178" i="6"/>
  <c r="Q180" i="6"/>
  <c r="R181" i="6"/>
  <c r="W179" i="6"/>
  <c r="S179" i="6"/>
  <c r="X179" i="6" s="1"/>
  <c r="T179" i="6"/>
  <c r="U179" i="6"/>
  <c r="V179" i="6"/>
  <c r="Y179" i="6" l="1"/>
  <c r="O176" i="6"/>
  <c r="L177" i="6"/>
  <c r="M177" i="6" s="1"/>
  <c r="N177" i="6" s="1"/>
  <c r="G179" i="6"/>
  <c r="H180" i="6"/>
  <c r="J178" i="6"/>
  <c r="L178" i="6"/>
  <c r="K178" i="6"/>
  <c r="I178" i="6"/>
  <c r="R182" i="6"/>
  <c r="Q181" i="6"/>
  <c r="S180" i="6"/>
  <c r="X180" i="6" s="1"/>
  <c r="V180" i="6"/>
  <c r="W180" i="6"/>
  <c r="T180" i="6"/>
  <c r="U180" i="6"/>
  <c r="Y180" i="6" l="1"/>
  <c r="O177" i="6"/>
  <c r="M178" i="6"/>
  <c r="N178" i="6"/>
  <c r="G180" i="6"/>
  <c r="H181" i="6"/>
  <c r="J179" i="6"/>
  <c r="I179" i="6"/>
  <c r="L179" i="6" s="1"/>
  <c r="K179" i="6"/>
  <c r="R183" i="6"/>
  <c r="Q182" i="6"/>
  <c r="V181" i="6"/>
  <c r="T181" i="6"/>
  <c r="U181" i="6"/>
  <c r="W181" i="6"/>
  <c r="S181" i="6"/>
  <c r="X181" i="6" s="1"/>
  <c r="Y181" i="6" l="1"/>
  <c r="O178" i="6"/>
  <c r="M179" i="6"/>
  <c r="N179" i="6"/>
  <c r="H182" i="6"/>
  <c r="G181" i="6"/>
  <c r="I180" i="6"/>
  <c r="J180" i="6"/>
  <c r="L180" i="6" s="1"/>
  <c r="M180" i="6" s="1"/>
  <c r="K180" i="6"/>
  <c r="V182" i="6"/>
  <c r="S182" i="6"/>
  <c r="X182" i="6" s="1"/>
  <c r="U182" i="6"/>
  <c r="T182" i="6"/>
  <c r="W182" i="6"/>
  <c r="Q183" i="6"/>
  <c r="R184" i="6"/>
  <c r="Y182" i="6" l="1"/>
  <c r="O179" i="6"/>
  <c r="O180" i="6" s="1"/>
  <c r="N180" i="6"/>
  <c r="J181" i="6"/>
  <c r="I181" i="6"/>
  <c r="K181" i="6"/>
  <c r="L181" i="6"/>
  <c r="M181" i="6" s="1"/>
  <c r="H183" i="6"/>
  <c r="G182" i="6"/>
  <c r="S183" i="6"/>
  <c r="X183" i="6" s="1"/>
  <c r="W183" i="6"/>
  <c r="V183" i="6"/>
  <c r="T183" i="6"/>
  <c r="U183" i="6"/>
  <c r="R185" i="6"/>
  <c r="Q184" i="6"/>
  <c r="Y183" i="6" l="1"/>
  <c r="N181" i="6"/>
  <c r="O181" i="6"/>
  <c r="G183" i="6"/>
  <c r="H184" i="6"/>
  <c r="J182" i="6"/>
  <c r="K182" i="6"/>
  <c r="I182" i="6"/>
  <c r="Q185" i="6"/>
  <c r="R186" i="6"/>
  <c r="S184" i="6"/>
  <c r="X184" i="6" s="1"/>
  <c r="T184" i="6"/>
  <c r="V184" i="6"/>
  <c r="U184" i="6"/>
  <c r="W184" i="6"/>
  <c r="Y184" i="6" l="1"/>
  <c r="L182" i="6"/>
  <c r="M182" i="6" s="1"/>
  <c r="O182" i="6" s="1"/>
  <c r="H185" i="6"/>
  <c r="G184" i="6"/>
  <c r="I183" i="6"/>
  <c r="K183" i="6"/>
  <c r="J183" i="6"/>
  <c r="W185" i="6"/>
  <c r="S185" i="6"/>
  <c r="X185" i="6" s="1"/>
  <c r="U185" i="6"/>
  <c r="V185" i="6"/>
  <c r="T185" i="6"/>
  <c r="Q186" i="6"/>
  <c r="R187" i="6"/>
  <c r="Y185" i="6" l="1"/>
  <c r="N182" i="6"/>
  <c r="L183" i="6"/>
  <c r="M183" i="6" s="1"/>
  <c r="I184" i="6"/>
  <c r="K184" i="6"/>
  <c r="J184" i="6"/>
  <c r="G185" i="6"/>
  <c r="H186" i="6"/>
  <c r="V186" i="6"/>
  <c r="T186" i="6"/>
  <c r="W186" i="6"/>
  <c r="U186" i="6"/>
  <c r="S186" i="6"/>
  <c r="X186" i="6" s="1"/>
  <c r="Q187" i="6"/>
  <c r="R188" i="6"/>
  <c r="Y186" i="6" l="1"/>
  <c r="O183" i="6"/>
  <c r="N183" i="6"/>
  <c r="L184" i="6"/>
  <c r="M184" i="6" s="1"/>
  <c r="K185" i="6"/>
  <c r="J185" i="6"/>
  <c r="I185" i="6"/>
  <c r="G186" i="6"/>
  <c r="H187" i="6"/>
  <c r="T187" i="6"/>
  <c r="S187" i="6"/>
  <c r="X187" i="6" s="1"/>
  <c r="U187" i="6"/>
  <c r="W187" i="6"/>
  <c r="V187" i="6"/>
  <c r="R189" i="6"/>
  <c r="Q188" i="6"/>
  <c r="Y187" i="6" l="1"/>
  <c r="O184" i="6"/>
  <c r="N184" i="6"/>
  <c r="L185" i="6"/>
  <c r="M185" i="6" s="1"/>
  <c r="N185" i="6" s="1"/>
  <c r="I186" i="6"/>
  <c r="J186" i="6"/>
  <c r="K186" i="6"/>
  <c r="G187" i="6"/>
  <c r="H188" i="6"/>
  <c r="Q189" i="6"/>
  <c r="R190" i="6"/>
  <c r="V188" i="6"/>
  <c r="W188" i="6"/>
  <c r="S188" i="6"/>
  <c r="X188" i="6" s="1"/>
  <c r="T188" i="6"/>
  <c r="U188" i="6"/>
  <c r="Y188" i="6" l="1"/>
  <c r="L186" i="6"/>
  <c r="M186" i="6"/>
  <c r="N186" i="6" s="1"/>
  <c r="O185" i="6"/>
  <c r="G188" i="6"/>
  <c r="H189" i="6"/>
  <c r="K187" i="6"/>
  <c r="J187" i="6"/>
  <c r="I187" i="6"/>
  <c r="L187" i="6" s="1"/>
  <c r="Q190" i="6"/>
  <c r="R191" i="6"/>
  <c r="S189" i="6"/>
  <c r="X189" i="6" s="1"/>
  <c r="W189" i="6"/>
  <c r="U189" i="6"/>
  <c r="V189" i="6"/>
  <c r="T189" i="6"/>
  <c r="Y189" i="6" l="1"/>
  <c r="O186" i="6"/>
  <c r="M187" i="6"/>
  <c r="H190" i="6"/>
  <c r="G189" i="6"/>
  <c r="I188" i="6"/>
  <c r="J188" i="6"/>
  <c r="L188" i="6" s="1"/>
  <c r="K188" i="6"/>
  <c r="Q191" i="6"/>
  <c r="R192" i="6"/>
  <c r="W190" i="6"/>
  <c r="U190" i="6"/>
  <c r="T190" i="6"/>
  <c r="V190" i="6"/>
  <c r="S190" i="6"/>
  <c r="X190" i="6" s="1"/>
  <c r="Y190" i="6" l="1"/>
  <c r="O187" i="6"/>
  <c r="M188" i="6"/>
  <c r="N188" i="6" s="1"/>
  <c r="N187" i="6"/>
  <c r="K189" i="6"/>
  <c r="I189" i="6"/>
  <c r="J189" i="6"/>
  <c r="H191" i="6"/>
  <c r="G190" i="6"/>
  <c r="R193" i="6"/>
  <c r="Q192" i="6"/>
  <c r="U191" i="6"/>
  <c r="T191" i="6"/>
  <c r="S191" i="6"/>
  <c r="X191" i="6" s="1"/>
  <c r="V191" i="6"/>
  <c r="W191" i="6"/>
  <c r="Y191" i="6" l="1"/>
  <c r="L189" i="6"/>
  <c r="M189" i="6" s="1"/>
  <c r="N189" i="6" s="1"/>
  <c r="O188" i="6"/>
  <c r="J190" i="6"/>
  <c r="I190" i="6"/>
  <c r="K190" i="6"/>
  <c r="L190" i="6"/>
  <c r="G191" i="6"/>
  <c r="H192" i="6"/>
  <c r="U192" i="6"/>
  <c r="W192" i="6"/>
  <c r="T192" i="6"/>
  <c r="V192" i="6"/>
  <c r="S192" i="6"/>
  <c r="X192" i="6" s="1"/>
  <c r="Q193" i="6"/>
  <c r="R194" i="6"/>
  <c r="Y192" i="6" l="1"/>
  <c r="O189" i="6"/>
  <c r="M190" i="6"/>
  <c r="J191" i="6"/>
  <c r="K191" i="6"/>
  <c r="I191" i="6"/>
  <c r="G192" i="6"/>
  <c r="H193" i="6"/>
  <c r="W193" i="6"/>
  <c r="T193" i="6"/>
  <c r="V193" i="6"/>
  <c r="U193" i="6"/>
  <c r="S193" i="6"/>
  <c r="X193" i="6" s="1"/>
  <c r="Q194" i="6"/>
  <c r="R195" i="6"/>
  <c r="Y193" i="6" l="1"/>
  <c r="O190" i="6"/>
  <c r="N190" i="6"/>
  <c r="L191" i="6"/>
  <c r="M191" i="6" s="1"/>
  <c r="H194" i="6"/>
  <c r="G193" i="6"/>
  <c r="J192" i="6"/>
  <c r="I192" i="6"/>
  <c r="K192" i="6"/>
  <c r="Q195" i="6"/>
  <c r="R196" i="6"/>
  <c r="V194" i="6"/>
  <c r="W194" i="6"/>
  <c r="T194" i="6"/>
  <c r="U194" i="6"/>
  <c r="S194" i="6"/>
  <c r="X194" i="6" s="1"/>
  <c r="Y194" i="6" l="1"/>
  <c r="N191" i="6"/>
  <c r="O191" i="6"/>
  <c r="L192" i="6"/>
  <c r="M192" i="6" s="1"/>
  <c r="M193" i="6" s="1"/>
  <c r="I193" i="6"/>
  <c r="J193" i="6"/>
  <c r="K193" i="6"/>
  <c r="L193" i="6"/>
  <c r="G194" i="6"/>
  <c r="H195" i="6"/>
  <c r="Q196" i="6"/>
  <c r="R197" i="6"/>
  <c r="T195" i="6"/>
  <c r="S195" i="6"/>
  <c r="X195" i="6" s="1"/>
  <c r="U195" i="6"/>
  <c r="W195" i="6"/>
  <c r="V195" i="6"/>
  <c r="Y195" i="6" l="1"/>
  <c r="N193" i="6"/>
  <c r="O192" i="6"/>
  <c r="O193" i="6" s="1"/>
  <c r="N192" i="6"/>
  <c r="H196" i="6"/>
  <c r="G195" i="6"/>
  <c r="I194" i="6"/>
  <c r="K194" i="6"/>
  <c r="J194" i="6"/>
  <c r="Q197" i="6"/>
  <c r="R198" i="6"/>
  <c r="W196" i="6"/>
  <c r="V196" i="6"/>
  <c r="T196" i="6"/>
  <c r="S196" i="6"/>
  <c r="X196" i="6" s="1"/>
  <c r="U196" i="6"/>
  <c r="Y196" i="6" l="1"/>
  <c r="L194" i="6"/>
  <c r="M194" i="6" s="1"/>
  <c r="O194" i="6" s="1"/>
  <c r="J195" i="6"/>
  <c r="K195" i="6"/>
  <c r="I195" i="6"/>
  <c r="H197" i="6"/>
  <c r="G196" i="6"/>
  <c r="W197" i="6"/>
  <c r="U197" i="6"/>
  <c r="V197" i="6"/>
  <c r="T197" i="6"/>
  <c r="S197" i="6"/>
  <c r="X197" i="6" s="1"/>
  <c r="Q198" i="6"/>
  <c r="R199" i="6"/>
  <c r="Y197" i="6" l="1"/>
  <c r="N194" i="6"/>
  <c r="L195" i="6"/>
  <c r="M195" i="6" s="1"/>
  <c r="H198" i="6"/>
  <c r="G197" i="6"/>
  <c r="J196" i="6"/>
  <c r="I196" i="6"/>
  <c r="L196" i="6" s="1"/>
  <c r="K196" i="6"/>
  <c r="U198" i="6"/>
  <c r="V198" i="6"/>
  <c r="T198" i="6"/>
  <c r="W198" i="6"/>
  <c r="S198" i="6"/>
  <c r="X198" i="6" s="1"/>
  <c r="Q199" i="6"/>
  <c r="R200" i="6"/>
  <c r="Y198" i="6" l="1"/>
  <c r="O195" i="6"/>
  <c r="M196" i="6"/>
  <c r="N196" i="6" s="1"/>
  <c r="N195" i="6"/>
  <c r="J197" i="6"/>
  <c r="K197" i="6"/>
  <c r="I197" i="6"/>
  <c r="G198" i="6"/>
  <c r="H199" i="6"/>
  <c r="W199" i="6"/>
  <c r="U199" i="6"/>
  <c r="V199" i="6"/>
  <c r="T199" i="6"/>
  <c r="S199" i="6"/>
  <c r="X199" i="6" s="1"/>
  <c r="Q200" i="6"/>
  <c r="R201" i="6"/>
  <c r="Y199" i="6" l="1"/>
  <c r="O196" i="6"/>
  <c r="L197" i="6"/>
  <c r="M197" i="6" s="1"/>
  <c r="H200" i="6"/>
  <c r="G199" i="6"/>
  <c r="I198" i="6"/>
  <c r="L198" i="6" s="1"/>
  <c r="K198" i="6"/>
  <c r="J198" i="6"/>
  <c r="T200" i="6"/>
  <c r="V200" i="6"/>
  <c r="W200" i="6"/>
  <c r="U200" i="6"/>
  <c r="S200" i="6"/>
  <c r="X200" i="6" s="1"/>
  <c r="Q201" i="6"/>
  <c r="R202" i="6"/>
  <c r="Y200" i="6" l="1"/>
  <c r="O197" i="6"/>
  <c r="M198" i="6"/>
  <c r="N197" i="6"/>
  <c r="J199" i="6"/>
  <c r="I199" i="6"/>
  <c r="K199" i="6"/>
  <c r="H201" i="6"/>
  <c r="G200" i="6"/>
  <c r="S201" i="6"/>
  <c r="X201" i="6" s="1"/>
  <c r="U201" i="6"/>
  <c r="W201" i="6"/>
  <c r="V201" i="6"/>
  <c r="T201" i="6"/>
  <c r="R203" i="6"/>
  <c r="Q202" i="6"/>
  <c r="Y201" i="6" l="1"/>
  <c r="O198" i="6"/>
  <c r="M199" i="6"/>
  <c r="N199" i="6"/>
  <c r="L199" i="6"/>
  <c r="N198" i="6"/>
  <c r="G201" i="6"/>
  <c r="H202" i="6"/>
  <c r="K200" i="6"/>
  <c r="I200" i="6"/>
  <c r="J200" i="6"/>
  <c r="R204" i="6"/>
  <c r="Q203" i="6"/>
  <c r="U202" i="6"/>
  <c r="V202" i="6"/>
  <c r="S202" i="6"/>
  <c r="X202" i="6" s="1"/>
  <c r="T202" i="6"/>
  <c r="W202" i="6"/>
  <c r="Y202" i="6" l="1"/>
  <c r="M200" i="6"/>
  <c r="M201" i="6" s="1"/>
  <c r="N200" i="6"/>
  <c r="O199" i="6"/>
  <c r="L200" i="6"/>
  <c r="G202" i="6"/>
  <c r="H203" i="6"/>
  <c r="K201" i="6"/>
  <c r="I201" i="6"/>
  <c r="L201" i="6"/>
  <c r="J201" i="6"/>
  <c r="U203" i="6"/>
  <c r="W203" i="6"/>
  <c r="V203" i="6"/>
  <c r="T203" i="6"/>
  <c r="S203" i="6"/>
  <c r="X203" i="6" s="1"/>
  <c r="Q204" i="6"/>
  <c r="R205" i="6"/>
  <c r="Y203" i="6" l="1"/>
  <c r="N201" i="6"/>
  <c r="O200" i="6"/>
  <c r="O201" i="6" s="1"/>
  <c r="G203" i="6"/>
  <c r="H204" i="6"/>
  <c r="I202" i="6"/>
  <c r="K202" i="6"/>
  <c r="J202" i="6"/>
  <c r="Q205" i="6"/>
  <c r="R206" i="6"/>
  <c r="W204" i="6"/>
  <c r="T204" i="6"/>
  <c r="S204" i="6"/>
  <c r="X204" i="6" s="1"/>
  <c r="V204" i="6"/>
  <c r="U204" i="6"/>
  <c r="Y204" i="6" l="1"/>
  <c r="L202" i="6"/>
  <c r="M202" i="6" s="1"/>
  <c r="O202" i="6" s="1"/>
  <c r="G204" i="6"/>
  <c r="H205" i="6"/>
  <c r="I203" i="6"/>
  <c r="K203" i="6"/>
  <c r="J203" i="6"/>
  <c r="Q206" i="6"/>
  <c r="R207" i="6"/>
  <c r="S205" i="6"/>
  <c r="X205" i="6" s="1"/>
  <c r="U205" i="6"/>
  <c r="W205" i="6"/>
  <c r="Y205" i="6" s="1"/>
  <c r="T205" i="6"/>
  <c r="V205" i="6"/>
  <c r="M203" i="6" l="1"/>
  <c r="O203" i="6" s="1"/>
  <c r="N203" i="6"/>
  <c r="N202" i="6"/>
  <c r="L203" i="6"/>
  <c r="G205" i="6"/>
  <c r="H206" i="6"/>
  <c r="I204" i="6"/>
  <c r="L204" i="6"/>
  <c r="K204" i="6"/>
  <c r="J204" i="6"/>
  <c r="T206" i="6"/>
  <c r="W206" i="6"/>
  <c r="Y206" i="6" s="1"/>
  <c r="V206" i="6"/>
  <c r="S206" i="6"/>
  <c r="X206" i="6" s="1"/>
  <c r="U206" i="6"/>
  <c r="Q207" i="6"/>
  <c r="R208" i="6"/>
  <c r="M204" i="6" l="1"/>
  <c r="O204" i="6" s="1"/>
  <c r="N204" i="6"/>
  <c r="G206" i="6"/>
  <c r="H207" i="6"/>
  <c r="K205" i="6"/>
  <c r="I205" i="6"/>
  <c r="L205" i="6" s="1"/>
  <c r="M205" i="6" s="1"/>
  <c r="J205" i="6"/>
  <c r="U207" i="6"/>
  <c r="W207" i="6"/>
  <c r="Y207" i="6" s="1"/>
  <c r="V207" i="6"/>
  <c r="S207" i="6"/>
  <c r="X207" i="6" s="1"/>
  <c r="T207" i="6"/>
  <c r="Q208" i="6"/>
  <c r="R209" i="6"/>
  <c r="N205" i="6" l="1"/>
  <c r="O205" i="6"/>
  <c r="H208" i="6"/>
  <c r="G207" i="6"/>
  <c r="J206" i="6"/>
  <c r="I206" i="6"/>
  <c r="K206" i="6"/>
  <c r="L206" i="6" s="1"/>
  <c r="M206" i="6" s="1"/>
  <c r="U208" i="6"/>
  <c r="V208" i="6"/>
  <c r="W208" i="6"/>
  <c r="Y208" i="6" s="1"/>
  <c r="S208" i="6"/>
  <c r="X208" i="6" s="1"/>
  <c r="T208" i="6"/>
  <c r="R210" i="6"/>
  <c r="Q209" i="6"/>
  <c r="N206" i="6" l="1"/>
  <c r="O206" i="6"/>
  <c r="K207" i="6"/>
  <c r="J207" i="6"/>
  <c r="I207" i="6"/>
  <c r="H209" i="6"/>
  <c r="G208" i="6"/>
  <c r="Q210" i="6"/>
  <c r="R211" i="6"/>
  <c r="U209" i="6"/>
  <c r="T209" i="6"/>
  <c r="V209" i="6"/>
  <c r="W209" i="6"/>
  <c r="Y209" i="6" s="1"/>
  <c r="S209" i="6"/>
  <c r="X209" i="6" s="1"/>
  <c r="L207" i="6" l="1"/>
  <c r="M207" i="6" s="1"/>
  <c r="O207" i="6" s="1"/>
  <c r="G209" i="6"/>
  <c r="H210" i="6"/>
  <c r="I208" i="6"/>
  <c r="J208" i="6"/>
  <c r="K208" i="6"/>
  <c r="L208" i="6"/>
  <c r="Q211" i="6"/>
  <c r="R212" i="6"/>
  <c r="T210" i="6"/>
  <c r="U210" i="6"/>
  <c r="V210" i="6"/>
  <c r="W210" i="6"/>
  <c r="Y210" i="6" s="1"/>
  <c r="S210" i="6"/>
  <c r="X210" i="6" s="1"/>
  <c r="N207" i="6" l="1"/>
  <c r="N208" i="6"/>
  <c r="M208" i="6"/>
  <c r="O208" i="6" s="1"/>
  <c r="G210" i="6"/>
  <c r="H211" i="6"/>
  <c r="I209" i="6"/>
  <c r="J209" i="6"/>
  <c r="L209" i="6" s="1"/>
  <c r="M209" i="6" s="1"/>
  <c r="K209" i="6"/>
  <c r="R213" i="6"/>
  <c r="Q212" i="6"/>
  <c r="V211" i="6"/>
  <c r="W211" i="6"/>
  <c r="Y211" i="6" s="1"/>
  <c r="U211" i="6"/>
  <c r="S211" i="6"/>
  <c r="X211" i="6" s="1"/>
  <c r="T211" i="6"/>
  <c r="N209" i="6" l="1"/>
  <c r="O209" i="6"/>
  <c r="G211" i="6"/>
  <c r="H212" i="6"/>
  <c r="K210" i="6"/>
  <c r="I210" i="6"/>
  <c r="J210" i="6"/>
  <c r="L210" i="6"/>
  <c r="M210" i="6" s="1"/>
  <c r="S212" i="6"/>
  <c r="X212" i="6" s="1"/>
  <c r="V212" i="6"/>
  <c r="T212" i="6"/>
  <c r="U212" i="6"/>
  <c r="W212" i="6"/>
  <c r="Y212" i="6" s="1"/>
  <c r="R214" i="6"/>
  <c r="Q213" i="6"/>
  <c r="N210" i="6" l="1"/>
  <c r="O210" i="6"/>
  <c r="H213" i="6"/>
  <c r="G212" i="6"/>
  <c r="K211" i="6"/>
  <c r="J211" i="6"/>
  <c r="I211" i="6"/>
  <c r="S213" i="6"/>
  <c r="X213" i="6" s="1"/>
  <c r="T213" i="6"/>
  <c r="U213" i="6"/>
  <c r="V213" i="6"/>
  <c r="W213" i="6"/>
  <c r="Y213" i="6" s="1"/>
  <c r="Q214" i="6"/>
  <c r="R215" i="6"/>
  <c r="L211" i="6" l="1"/>
  <c r="M211" i="6" s="1"/>
  <c r="N211" i="6" s="1"/>
  <c r="K212" i="6"/>
  <c r="I212" i="6"/>
  <c r="J212" i="6"/>
  <c r="H214" i="6"/>
  <c r="G213" i="6"/>
  <c r="Q215" i="6"/>
  <c r="R216" i="6"/>
  <c r="V214" i="6"/>
  <c r="U214" i="6"/>
  <c r="W214" i="6"/>
  <c r="Y214" i="6" s="1"/>
  <c r="S214" i="6"/>
  <c r="X214" i="6" s="1"/>
  <c r="T214" i="6"/>
  <c r="M212" i="6" l="1"/>
  <c r="L212" i="6"/>
  <c r="O211" i="6"/>
  <c r="K213" i="6"/>
  <c r="J213" i="6"/>
  <c r="I213" i="6"/>
  <c r="L213" i="6" s="1"/>
  <c r="H215" i="6"/>
  <c r="G214" i="6"/>
  <c r="T215" i="6"/>
  <c r="U215" i="6"/>
  <c r="V215" i="6"/>
  <c r="W215" i="6"/>
  <c r="Y215" i="6" s="1"/>
  <c r="S215" i="6"/>
  <c r="X215" i="6" s="1"/>
  <c r="Q216" i="6"/>
  <c r="R217" i="6"/>
  <c r="O212" i="6" l="1"/>
  <c r="M213" i="6"/>
  <c r="N213" i="6" s="1"/>
  <c r="N212" i="6"/>
  <c r="J214" i="6"/>
  <c r="I214" i="6"/>
  <c r="K214" i="6"/>
  <c r="H216" i="6"/>
  <c r="G215" i="6"/>
  <c r="U216" i="6"/>
  <c r="T216" i="6"/>
  <c r="W216" i="6"/>
  <c r="Y216" i="6" s="1"/>
  <c r="V216" i="6"/>
  <c r="S216" i="6"/>
  <c r="X216" i="6" s="1"/>
  <c r="Q217" i="6"/>
  <c r="R218" i="6"/>
  <c r="M214" i="6" l="1"/>
  <c r="N214" i="6"/>
  <c r="O213" i="6"/>
  <c r="L214" i="6"/>
  <c r="K215" i="6"/>
  <c r="J215" i="6"/>
  <c r="I215" i="6"/>
  <c r="G216" i="6"/>
  <c r="H217" i="6"/>
  <c r="T217" i="6"/>
  <c r="U217" i="6"/>
  <c r="W217" i="6"/>
  <c r="Y217" i="6" s="1"/>
  <c r="V217" i="6"/>
  <c r="S217" i="6"/>
  <c r="X217" i="6" s="1"/>
  <c r="R219" i="6"/>
  <c r="Q218" i="6"/>
  <c r="O214" i="6" l="1"/>
  <c r="M215" i="6"/>
  <c r="L215" i="6"/>
  <c r="I216" i="6"/>
  <c r="J216" i="6"/>
  <c r="K216" i="6"/>
  <c r="L216" i="6"/>
  <c r="G217" i="6"/>
  <c r="H218" i="6"/>
  <c r="Q219" i="6"/>
  <c r="R220" i="6"/>
  <c r="S218" i="6"/>
  <c r="X218" i="6" s="1"/>
  <c r="V218" i="6"/>
  <c r="T218" i="6"/>
  <c r="W218" i="6"/>
  <c r="Y218" i="6" s="1"/>
  <c r="U218" i="6"/>
  <c r="O215" i="6" l="1"/>
  <c r="M216" i="6"/>
  <c r="N216" i="6" s="1"/>
  <c r="N215" i="6"/>
  <c r="J217" i="6"/>
  <c r="K217" i="6"/>
  <c r="I217" i="6"/>
  <c r="L217" i="6" s="1"/>
  <c r="G218" i="6"/>
  <c r="H219" i="6"/>
  <c r="Q220" i="6"/>
  <c r="R221" i="6"/>
  <c r="T219" i="6"/>
  <c r="V219" i="6"/>
  <c r="S219" i="6"/>
  <c r="X219" i="6" s="1"/>
  <c r="U219" i="6"/>
  <c r="W219" i="6"/>
  <c r="Y219" i="6" s="1"/>
  <c r="M217" i="6" l="1"/>
  <c r="N217" i="6" s="1"/>
  <c r="O216" i="6"/>
  <c r="K218" i="6"/>
  <c r="J218" i="6"/>
  <c r="I218" i="6"/>
  <c r="G219" i="6"/>
  <c r="H220" i="6"/>
  <c r="T220" i="6"/>
  <c r="U220" i="6"/>
  <c r="V220" i="6"/>
  <c r="W220" i="6"/>
  <c r="Y220" i="6" s="1"/>
  <c r="S220" i="6"/>
  <c r="X220" i="6" s="1"/>
  <c r="R222" i="6"/>
  <c r="Q221" i="6"/>
  <c r="M218" i="6" l="1"/>
  <c r="O217" i="6"/>
  <c r="L218" i="6"/>
  <c r="H221" i="6"/>
  <c r="G220" i="6"/>
  <c r="J219" i="6"/>
  <c r="L219" i="6" s="1"/>
  <c r="K219" i="6"/>
  <c r="I219" i="6"/>
  <c r="R223" i="6"/>
  <c r="Q222" i="6"/>
  <c r="T221" i="6"/>
  <c r="V221" i="6"/>
  <c r="S221" i="6"/>
  <c r="X221" i="6" s="1"/>
  <c r="U221" i="6"/>
  <c r="W221" i="6"/>
  <c r="Y221" i="6" s="1"/>
  <c r="M219" i="6" l="1"/>
  <c r="N218" i="6"/>
  <c r="O218" i="6"/>
  <c r="I220" i="6"/>
  <c r="J220" i="6"/>
  <c r="K220" i="6"/>
  <c r="L220" i="6"/>
  <c r="H222" i="6"/>
  <c r="G221" i="6"/>
  <c r="T222" i="6"/>
  <c r="U222" i="6"/>
  <c r="V222" i="6"/>
  <c r="W222" i="6"/>
  <c r="Y222" i="6" s="1"/>
  <c r="S222" i="6"/>
  <c r="X222" i="6" s="1"/>
  <c r="R224" i="6"/>
  <c r="Q223" i="6"/>
  <c r="O219" i="6" l="1"/>
  <c r="N220" i="6"/>
  <c r="N219" i="6"/>
  <c r="M220" i="6"/>
  <c r="I221" i="6"/>
  <c r="J221" i="6"/>
  <c r="K221" i="6"/>
  <c r="H223" i="6"/>
  <c r="G222" i="6"/>
  <c r="Q224" i="6"/>
  <c r="R225" i="6"/>
  <c r="W223" i="6"/>
  <c r="Y223" i="6" s="1"/>
  <c r="S223" i="6"/>
  <c r="X223" i="6" s="1"/>
  <c r="T223" i="6"/>
  <c r="U223" i="6"/>
  <c r="V223" i="6"/>
  <c r="O220" i="6" l="1"/>
  <c r="L221" i="6"/>
  <c r="M221" i="6" s="1"/>
  <c r="K222" i="6"/>
  <c r="J222" i="6"/>
  <c r="I222" i="6"/>
  <c r="G223" i="6"/>
  <c r="H224" i="6"/>
  <c r="S224" i="6"/>
  <c r="X224" i="6" s="1"/>
  <c r="U224" i="6"/>
  <c r="T224" i="6"/>
  <c r="V224" i="6"/>
  <c r="W224" i="6"/>
  <c r="Y224" i="6" s="1"/>
  <c r="Q225" i="6"/>
  <c r="R226" i="6"/>
  <c r="O221" i="6" l="1"/>
  <c r="N221" i="6"/>
  <c r="L222" i="6"/>
  <c r="M222" i="6" s="1"/>
  <c r="K223" i="6"/>
  <c r="I223" i="6"/>
  <c r="L223" i="6" s="1"/>
  <c r="J223" i="6"/>
  <c r="G224" i="6"/>
  <c r="H225" i="6"/>
  <c r="S225" i="6"/>
  <c r="X225" i="6" s="1"/>
  <c r="T225" i="6"/>
  <c r="U225" i="6"/>
  <c r="V225" i="6"/>
  <c r="W225" i="6"/>
  <c r="Y225" i="6" s="1"/>
  <c r="Q226" i="6"/>
  <c r="R227" i="6"/>
  <c r="O222" i="6" l="1"/>
  <c r="N222" i="6"/>
  <c r="M223" i="6"/>
  <c r="N223" i="6"/>
  <c r="J224" i="6"/>
  <c r="I224" i="6"/>
  <c r="L224" i="6" s="1"/>
  <c r="M224" i="6" s="1"/>
  <c r="K224" i="6"/>
  <c r="G225" i="6"/>
  <c r="H226" i="6"/>
  <c r="S226" i="6"/>
  <c r="X226" i="6" s="1"/>
  <c r="U226" i="6"/>
  <c r="W226" i="6"/>
  <c r="Y226" i="6" s="1"/>
  <c r="T226" i="6"/>
  <c r="V226" i="6"/>
  <c r="Q227" i="6"/>
  <c r="R228" i="6"/>
  <c r="O223" i="6" l="1"/>
  <c r="O224" i="6" s="1"/>
  <c r="N224" i="6"/>
  <c r="G226" i="6"/>
  <c r="H227" i="6"/>
  <c r="K225" i="6"/>
  <c r="J225" i="6"/>
  <c r="L225" i="6"/>
  <c r="I225" i="6"/>
  <c r="M225" i="6"/>
  <c r="R229" i="6"/>
  <c r="Q228" i="6"/>
  <c r="W227" i="6"/>
  <c r="Y227" i="6" s="1"/>
  <c r="T227" i="6"/>
  <c r="U227" i="6"/>
  <c r="V227" i="6"/>
  <c r="S227" i="6"/>
  <c r="X227" i="6" s="1"/>
  <c r="N225" i="6" l="1"/>
  <c r="O225" i="6"/>
  <c r="H228" i="6"/>
  <c r="G227" i="6"/>
  <c r="J226" i="6"/>
  <c r="K226" i="6"/>
  <c r="I226" i="6"/>
  <c r="L226" i="6"/>
  <c r="M226" i="6" s="1"/>
  <c r="V228" i="6"/>
  <c r="W228" i="6"/>
  <c r="Y228" i="6" s="1"/>
  <c r="S228" i="6"/>
  <c r="X228" i="6" s="1"/>
  <c r="U228" i="6"/>
  <c r="T228" i="6"/>
  <c r="R230" i="6"/>
  <c r="Q229" i="6"/>
  <c r="N226" i="6" l="1"/>
  <c r="O226" i="6"/>
  <c r="I227" i="6"/>
  <c r="J227" i="6"/>
  <c r="L227" i="6" s="1"/>
  <c r="M227" i="6" s="1"/>
  <c r="K227" i="6"/>
  <c r="G228" i="6"/>
  <c r="H229" i="6"/>
  <c r="V229" i="6"/>
  <c r="T229" i="6"/>
  <c r="U229" i="6"/>
  <c r="W229" i="6"/>
  <c r="Y229" i="6" s="1"/>
  <c r="S229" i="6"/>
  <c r="X229" i="6" s="1"/>
  <c r="R231" i="6"/>
  <c r="Q230" i="6"/>
  <c r="N227" i="6" l="1"/>
  <c r="O227" i="6"/>
  <c r="K228" i="6"/>
  <c r="J228" i="6"/>
  <c r="I228" i="6"/>
  <c r="G229" i="6"/>
  <c r="H230" i="6"/>
  <c r="U230" i="6"/>
  <c r="V230" i="6"/>
  <c r="W230" i="6"/>
  <c r="Y230" i="6" s="1"/>
  <c r="S230" i="6"/>
  <c r="X230" i="6" s="1"/>
  <c r="T230" i="6"/>
  <c r="R232" i="6"/>
  <c r="Q231" i="6"/>
  <c r="L228" i="6" l="1"/>
  <c r="M228" i="6" s="1"/>
  <c r="N228" i="6" s="1"/>
  <c r="K229" i="6"/>
  <c r="J229" i="6"/>
  <c r="I229" i="6"/>
  <c r="G230" i="6"/>
  <c r="H231" i="6"/>
  <c r="T231" i="6"/>
  <c r="U231" i="6"/>
  <c r="V231" i="6"/>
  <c r="W231" i="6"/>
  <c r="Y231" i="6" s="1"/>
  <c r="S231" i="6"/>
  <c r="X231" i="6" s="1"/>
  <c r="R233" i="6"/>
  <c r="Q232" i="6"/>
  <c r="M229" i="6" l="1"/>
  <c r="N229" i="6"/>
  <c r="L229" i="6"/>
  <c r="O228" i="6"/>
  <c r="K230" i="6"/>
  <c r="J230" i="6"/>
  <c r="I230" i="6"/>
  <c r="L230" i="6"/>
  <c r="G231" i="6"/>
  <c r="H232" i="6"/>
  <c r="T232" i="6"/>
  <c r="U232" i="6"/>
  <c r="V232" i="6"/>
  <c r="W232" i="6"/>
  <c r="Y232" i="6" s="1"/>
  <c r="S232" i="6"/>
  <c r="X232" i="6" s="1"/>
  <c r="Q233" i="6"/>
  <c r="R234" i="6"/>
  <c r="O229" i="6" l="1"/>
  <c r="M230" i="6"/>
  <c r="G232" i="6"/>
  <c r="H233" i="6"/>
  <c r="I231" i="6"/>
  <c r="K231" i="6"/>
  <c r="J231" i="6"/>
  <c r="L231" i="6"/>
  <c r="S233" i="6"/>
  <c r="X233" i="6" s="1"/>
  <c r="W233" i="6"/>
  <c r="Y233" i="6" s="1"/>
  <c r="T233" i="6"/>
  <c r="U233" i="6"/>
  <c r="V233" i="6"/>
  <c r="Q234" i="6"/>
  <c r="R235" i="6"/>
  <c r="O230" i="6" l="1"/>
  <c r="N230" i="6"/>
  <c r="M231" i="6"/>
  <c r="M232" i="6" s="1"/>
  <c r="G233" i="6"/>
  <c r="H234" i="6"/>
  <c r="K232" i="6"/>
  <c r="J232" i="6"/>
  <c r="L232" i="6"/>
  <c r="I232" i="6"/>
  <c r="U234" i="6"/>
  <c r="T234" i="6"/>
  <c r="V234" i="6"/>
  <c r="S234" i="6"/>
  <c r="X234" i="6" s="1"/>
  <c r="W234" i="6"/>
  <c r="Y234" i="6" s="1"/>
  <c r="Q235" i="6"/>
  <c r="R236" i="6"/>
  <c r="O231" i="6" l="1"/>
  <c r="O232" i="6" s="1"/>
  <c r="N232" i="6"/>
  <c r="N231" i="6"/>
  <c r="H235" i="6"/>
  <c r="G234" i="6"/>
  <c r="J233" i="6"/>
  <c r="K233" i="6"/>
  <c r="L233" i="6"/>
  <c r="M233" i="6"/>
  <c r="I233" i="6"/>
  <c r="R237" i="6"/>
  <c r="Q236" i="6"/>
  <c r="T235" i="6"/>
  <c r="U235" i="6"/>
  <c r="V235" i="6"/>
  <c r="W235" i="6"/>
  <c r="Y235" i="6" s="1"/>
  <c r="S235" i="6"/>
  <c r="X235" i="6" s="1"/>
  <c r="N233" i="6" l="1"/>
  <c r="O233" i="6"/>
  <c r="K234" i="6"/>
  <c r="I234" i="6"/>
  <c r="J234" i="6"/>
  <c r="L234" i="6" s="1"/>
  <c r="M234" i="6" s="1"/>
  <c r="G235" i="6"/>
  <c r="H236" i="6"/>
  <c r="Q237" i="6"/>
  <c r="R238" i="6"/>
  <c r="S236" i="6"/>
  <c r="X236" i="6" s="1"/>
  <c r="V236" i="6"/>
  <c r="T236" i="6"/>
  <c r="U236" i="6"/>
  <c r="W236" i="6"/>
  <c r="Y236" i="6" s="1"/>
  <c r="N234" i="6" l="1"/>
  <c r="O234" i="6"/>
  <c r="H237" i="6"/>
  <c r="G236" i="6"/>
  <c r="I235" i="6"/>
  <c r="L235" i="6" s="1"/>
  <c r="M235" i="6" s="1"/>
  <c r="K235" i="6"/>
  <c r="J235" i="6"/>
  <c r="Q238" i="6"/>
  <c r="R239" i="6"/>
  <c r="W237" i="6"/>
  <c r="Y237" i="6" s="1"/>
  <c r="U237" i="6"/>
  <c r="V237" i="6"/>
  <c r="S237" i="6"/>
  <c r="X237" i="6" s="1"/>
  <c r="T237" i="6"/>
  <c r="N235" i="6" l="1"/>
  <c r="O235" i="6"/>
  <c r="J236" i="6"/>
  <c r="K236" i="6"/>
  <c r="I236" i="6"/>
  <c r="G237" i="6"/>
  <c r="H238" i="6"/>
  <c r="Q239" i="6"/>
  <c r="R240" i="6"/>
  <c r="U238" i="6"/>
  <c r="W238" i="6"/>
  <c r="Y238" i="6" s="1"/>
  <c r="V238" i="6"/>
  <c r="S238" i="6"/>
  <c r="X238" i="6" s="1"/>
  <c r="T238" i="6"/>
  <c r="L236" i="6" l="1"/>
  <c r="M236" i="6" s="1"/>
  <c r="O236" i="6" s="1"/>
  <c r="G238" i="6"/>
  <c r="H239" i="6"/>
  <c r="J237" i="6"/>
  <c r="K237" i="6"/>
  <c r="I237" i="6"/>
  <c r="L237" i="6" s="1"/>
  <c r="Q240" i="6"/>
  <c r="R241" i="6"/>
  <c r="V239" i="6"/>
  <c r="W239" i="6"/>
  <c r="Y239" i="6" s="1"/>
  <c r="T239" i="6"/>
  <c r="S239" i="6"/>
  <c r="X239" i="6" s="1"/>
  <c r="U239" i="6"/>
  <c r="M237" i="6" l="1"/>
  <c r="N236" i="6"/>
  <c r="H240" i="6"/>
  <c r="G239" i="6"/>
  <c r="I238" i="6"/>
  <c r="K238" i="6"/>
  <c r="J238" i="6"/>
  <c r="Q241" i="6"/>
  <c r="R242" i="6"/>
  <c r="T240" i="6"/>
  <c r="U240" i="6"/>
  <c r="W240" i="6"/>
  <c r="Y240" i="6" s="1"/>
  <c r="S240" i="6"/>
  <c r="X240" i="6" s="1"/>
  <c r="V240" i="6"/>
  <c r="M238" i="6" l="1"/>
  <c r="N238" i="6"/>
  <c r="N237" i="6"/>
  <c r="L238" i="6"/>
  <c r="O237" i="6"/>
  <c r="K239" i="6"/>
  <c r="J239" i="6"/>
  <c r="L239" i="6"/>
  <c r="I239" i="6"/>
  <c r="H241" i="6"/>
  <c r="G240" i="6"/>
  <c r="Q242" i="6"/>
  <c r="R243" i="6"/>
  <c r="T241" i="6"/>
  <c r="S241" i="6"/>
  <c r="X241" i="6" s="1"/>
  <c r="U241" i="6"/>
  <c r="V241" i="6"/>
  <c r="W241" i="6"/>
  <c r="Y241" i="6" s="1"/>
  <c r="O238" i="6" l="1"/>
  <c r="M239" i="6"/>
  <c r="N239" i="6"/>
  <c r="J240" i="6"/>
  <c r="K240" i="6"/>
  <c r="I240" i="6"/>
  <c r="H242" i="6"/>
  <c r="G241" i="6"/>
  <c r="T242" i="6"/>
  <c r="V242" i="6"/>
  <c r="S242" i="6"/>
  <c r="X242" i="6" s="1"/>
  <c r="U242" i="6"/>
  <c r="W242" i="6"/>
  <c r="Y242" i="6" s="1"/>
  <c r="R244" i="6"/>
  <c r="Q243" i="6"/>
  <c r="O239" i="6" l="1"/>
  <c r="L240" i="6"/>
  <c r="M240" i="6" s="1"/>
  <c r="G242" i="6"/>
  <c r="H243" i="6"/>
  <c r="J241" i="6"/>
  <c r="I241" i="6"/>
  <c r="L241" i="6"/>
  <c r="K241" i="6"/>
  <c r="Q244" i="6"/>
  <c r="R245" i="6"/>
  <c r="T243" i="6"/>
  <c r="V243" i="6"/>
  <c r="U243" i="6"/>
  <c r="W243" i="6"/>
  <c r="Y243" i="6" s="1"/>
  <c r="S243" i="6"/>
  <c r="X243" i="6" s="1"/>
  <c r="M241" i="6" l="1"/>
  <c r="N240" i="6"/>
  <c r="O240" i="6"/>
  <c r="H244" i="6"/>
  <c r="G243" i="6"/>
  <c r="K242" i="6"/>
  <c r="J242" i="6"/>
  <c r="L242" i="6" s="1"/>
  <c r="I242" i="6"/>
  <c r="W244" i="6"/>
  <c r="Y244" i="6" s="1"/>
  <c r="V244" i="6"/>
  <c r="T244" i="6"/>
  <c r="U244" i="6"/>
  <c r="S244" i="6"/>
  <c r="X244" i="6" s="1"/>
  <c r="Q245" i="6"/>
  <c r="R246" i="6"/>
  <c r="M242" i="6" l="1"/>
  <c r="N242" i="6" s="1"/>
  <c r="O241" i="6"/>
  <c r="N241" i="6"/>
  <c r="J243" i="6"/>
  <c r="K243" i="6"/>
  <c r="I243" i="6"/>
  <c r="G244" i="6"/>
  <c r="H245" i="6"/>
  <c r="Q246" i="6"/>
  <c r="R247" i="6"/>
  <c r="W245" i="6"/>
  <c r="Y245" i="6" s="1"/>
  <c r="V245" i="6"/>
  <c r="S245" i="6"/>
  <c r="X245" i="6" s="1"/>
  <c r="T245" i="6"/>
  <c r="U245" i="6"/>
  <c r="O242" i="6" l="1"/>
  <c r="L243" i="6"/>
  <c r="M243" i="6" s="1"/>
  <c r="H246" i="6"/>
  <c r="G245" i="6"/>
  <c r="I244" i="6"/>
  <c r="L244" i="6" s="1"/>
  <c r="J244" i="6"/>
  <c r="K244" i="6"/>
  <c r="T246" i="6"/>
  <c r="U246" i="6"/>
  <c r="W246" i="6"/>
  <c r="Y246" i="6" s="1"/>
  <c r="V246" i="6"/>
  <c r="S246" i="6"/>
  <c r="X246" i="6" s="1"/>
  <c r="Q247" i="6"/>
  <c r="R248" i="6"/>
  <c r="M244" i="6" l="1"/>
  <c r="N244" i="6" s="1"/>
  <c r="O243" i="6"/>
  <c r="N243" i="6"/>
  <c r="J245" i="6"/>
  <c r="I245" i="6"/>
  <c r="K245" i="6"/>
  <c r="L245" i="6" s="1"/>
  <c r="G246" i="6"/>
  <c r="H247" i="6"/>
  <c r="V247" i="6"/>
  <c r="U247" i="6"/>
  <c r="W247" i="6"/>
  <c r="Y247" i="6" s="1"/>
  <c r="S247" i="6"/>
  <c r="X247" i="6" s="1"/>
  <c r="T247" i="6"/>
  <c r="Q248" i="6"/>
  <c r="R249" i="6"/>
  <c r="O244" i="6" l="1"/>
  <c r="M245" i="6"/>
  <c r="G247" i="6"/>
  <c r="H248" i="6"/>
  <c r="K246" i="6"/>
  <c r="J246" i="6"/>
  <c r="I246" i="6"/>
  <c r="Q249" i="6"/>
  <c r="R250" i="6"/>
  <c r="U248" i="6"/>
  <c r="W248" i="6"/>
  <c r="Y248" i="6" s="1"/>
  <c r="V248" i="6"/>
  <c r="T248" i="6"/>
  <c r="S248" i="6"/>
  <c r="X248" i="6" s="1"/>
  <c r="O245" i="6" l="1"/>
  <c r="M246" i="6"/>
  <c r="N246" i="6"/>
  <c r="L246" i="6"/>
  <c r="N245" i="6"/>
  <c r="G248" i="6"/>
  <c r="H249" i="6"/>
  <c r="K247" i="6"/>
  <c r="I247" i="6"/>
  <c r="J247" i="6"/>
  <c r="V249" i="6"/>
  <c r="W249" i="6"/>
  <c r="Y249" i="6" s="1"/>
  <c r="U249" i="6"/>
  <c r="S249" i="6"/>
  <c r="X249" i="6" s="1"/>
  <c r="T249" i="6"/>
  <c r="Q250" i="6"/>
  <c r="R251" i="6"/>
  <c r="O246" i="6" l="1"/>
  <c r="M247" i="6"/>
  <c r="L247" i="6"/>
  <c r="H250" i="6"/>
  <c r="G249" i="6"/>
  <c r="I248" i="6"/>
  <c r="J248" i="6"/>
  <c r="K248" i="6"/>
  <c r="V250" i="6"/>
  <c r="W250" i="6"/>
  <c r="Y250" i="6" s="1"/>
  <c r="S250" i="6"/>
  <c r="X250" i="6" s="1"/>
  <c r="U250" i="6"/>
  <c r="T250" i="6"/>
  <c r="Q251" i="6"/>
  <c r="R252" i="6"/>
  <c r="M248" i="6" l="1"/>
  <c r="N248" i="6" s="1"/>
  <c r="N247" i="6"/>
  <c r="O247" i="6"/>
  <c r="L248" i="6"/>
  <c r="J249" i="6"/>
  <c r="K249" i="6"/>
  <c r="L249" i="6"/>
  <c r="I249" i="6"/>
  <c r="G250" i="6"/>
  <c r="H251" i="6"/>
  <c r="T251" i="6"/>
  <c r="W251" i="6"/>
  <c r="Y251" i="6" s="1"/>
  <c r="U251" i="6"/>
  <c r="S251" i="6"/>
  <c r="X251" i="6" s="1"/>
  <c r="V251" i="6"/>
  <c r="R253" i="6"/>
  <c r="Q252" i="6"/>
  <c r="M249" i="6" l="1"/>
  <c r="N249" i="6" s="1"/>
  <c r="O248" i="6"/>
  <c r="I250" i="6"/>
  <c r="J250" i="6"/>
  <c r="K250" i="6"/>
  <c r="L250" i="6"/>
  <c r="G251" i="6"/>
  <c r="H252" i="6"/>
  <c r="V252" i="6"/>
  <c r="T252" i="6"/>
  <c r="S252" i="6"/>
  <c r="X252" i="6" s="1"/>
  <c r="U252" i="6"/>
  <c r="W252" i="6"/>
  <c r="Y252" i="6" s="1"/>
  <c r="R254" i="6"/>
  <c r="Q253" i="6"/>
  <c r="O249" i="6" l="1"/>
  <c r="M250" i="6"/>
  <c r="N250" i="6"/>
  <c r="H253" i="6"/>
  <c r="G252" i="6"/>
  <c r="J251" i="6"/>
  <c r="K251" i="6"/>
  <c r="I251" i="6"/>
  <c r="Q254" i="6"/>
  <c r="R255" i="6"/>
  <c r="T253" i="6"/>
  <c r="U253" i="6"/>
  <c r="S253" i="6"/>
  <c r="X253" i="6" s="1"/>
  <c r="V253" i="6"/>
  <c r="W253" i="6"/>
  <c r="Y253" i="6" s="1"/>
  <c r="O250" i="6" l="1"/>
  <c r="L251" i="6"/>
  <c r="M251" i="6" s="1"/>
  <c r="K252" i="6"/>
  <c r="J252" i="6"/>
  <c r="I252" i="6"/>
  <c r="L252" i="6"/>
  <c r="H254" i="6"/>
  <c r="G253" i="6"/>
  <c r="Q255" i="6"/>
  <c r="R256" i="6"/>
  <c r="U254" i="6"/>
  <c r="T254" i="6"/>
  <c r="V254" i="6"/>
  <c r="S254" i="6"/>
  <c r="X254" i="6" s="1"/>
  <c r="W254" i="6"/>
  <c r="Y254" i="6" s="1"/>
  <c r="O251" i="6" l="1"/>
  <c r="N251" i="6"/>
  <c r="N252" i="6"/>
  <c r="M252" i="6"/>
  <c r="H255" i="6"/>
  <c r="G254" i="6"/>
  <c r="J253" i="6"/>
  <c r="K253" i="6"/>
  <c r="I253" i="6"/>
  <c r="Q256" i="6"/>
  <c r="R257" i="6"/>
  <c r="U255" i="6"/>
  <c r="V255" i="6"/>
  <c r="W255" i="6"/>
  <c r="Y255" i="6" s="1"/>
  <c r="S255" i="6"/>
  <c r="X255" i="6" s="1"/>
  <c r="T255" i="6"/>
  <c r="O252" i="6" l="1"/>
  <c r="L253" i="6"/>
  <c r="M253" i="6" s="1"/>
  <c r="I254" i="6"/>
  <c r="J254" i="6"/>
  <c r="K254" i="6"/>
  <c r="L254" i="6" s="1"/>
  <c r="G255" i="6"/>
  <c r="H256" i="6"/>
  <c r="Q257" i="6"/>
  <c r="R258" i="6"/>
  <c r="T256" i="6"/>
  <c r="U256" i="6"/>
  <c r="V256" i="6"/>
  <c r="S256" i="6"/>
  <c r="X256" i="6" s="1"/>
  <c r="W256" i="6"/>
  <c r="Y256" i="6" s="1"/>
  <c r="O253" i="6" l="1"/>
  <c r="N253" i="6"/>
  <c r="M254" i="6"/>
  <c r="N254" i="6" s="1"/>
  <c r="G256" i="6"/>
  <c r="H257" i="6"/>
  <c r="J255" i="6"/>
  <c r="I255" i="6"/>
  <c r="L255" i="6"/>
  <c r="K255" i="6"/>
  <c r="Q258" i="6"/>
  <c r="R259" i="6"/>
  <c r="T257" i="6"/>
  <c r="W257" i="6"/>
  <c r="Y257" i="6" s="1"/>
  <c r="U257" i="6"/>
  <c r="V257" i="6"/>
  <c r="S257" i="6"/>
  <c r="X257" i="6" s="1"/>
  <c r="M255" i="6" l="1"/>
  <c r="N255" i="6" s="1"/>
  <c r="O254" i="6"/>
  <c r="H258" i="6"/>
  <c r="G257" i="6"/>
  <c r="J256" i="6"/>
  <c r="L256" i="6" s="1"/>
  <c r="K256" i="6"/>
  <c r="I256" i="6"/>
  <c r="R260" i="6"/>
  <c r="Q259" i="6"/>
  <c r="V258" i="6"/>
  <c r="W258" i="6"/>
  <c r="Y258" i="6" s="1"/>
  <c r="S258" i="6"/>
  <c r="X258" i="6" s="1"/>
  <c r="T258" i="6"/>
  <c r="U258" i="6"/>
  <c r="O255" i="6" l="1"/>
  <c r="M256" i="6"/>
  <c r="N256" i="6"/>
  <c r="J257" i="6"/>
  <c r="K257" i="6"/>
  <c r="I257" i="6"/>
  <c r="G258" i="6"/>
  <c r="H259" i="6"/>
  <c r="T259" i="6"/>
  <c r="U259" i="6"/>
  <c r="S259" i="6"/>
  <c r="X259" i="6" s="1"/>
  <c r="V259" i="6"/>
  <c r="W259" i="6"/>
  <c r="Y259" i="6" s="1"/>
  <c r="R261" i="6"/>
  <c r="Q260" i="6"/>
  <c r="O256" i="6" l="1"/>
  <c r="M257" i="6"/>
  <c r="L257" i="6"/>
  <c r="I258" i="6"/>
  <c r="J258" i="6"/>
  <c r="K258" i="6"/>
  <c r="G259" i="6"/>
  <c r="H260" i="6"/>
  <c r="R262" i="6"/>
  <c r="Q261" i="6"/>
  <c r="W260" i="6"/>
  <c r="Y260" i="6" s="1"/>
  <c r="T260" i="6"/>
  <c r="U260" i="6"/>
  <c r="V260" i="6"/>
  <c r="S260" i="6"/>
  <c r="X260" i="6" s="1"/>
  <c r="O257" i="6" l="1"/>
  <c r="N257" i="6"/>
  <c r="M258" i="6"/>
  <c r="N258" i="6" s="1"/>
  <c r="L258" i="6"/>
  <c r="K259" i="6"/>
  <c r="J259" i="6"/>
  <c r="I259" i="6"/>
  <c r="L259" i="6"/>
  <c r="G260" i="6"/>
  <c r="H261" i="6"/>
  <c r="Q262" i="6"/>
  <c r="R263" i="6"/>
  <c r="W261" i="6"/>
  <c r="Y261" i="6" s="1"/>
  <c r="T261" i="6"/>
  <c r="U261" i="6"/>
  <c r="V261" i="6"/>
  <c r="S261" i="6"/>
  <c r="X261" i="6" s="1"/>
  <c r="M259" i="6" l="1"/>
  <c r="M260" i="6" s="1"/>
  <c r="O258" i="6"/>
  <c r="I260" i="6"/>
  <c r="L260" i="6" s="1"/>
  <c r="J260" i="6"/>
  <c r="K260" i="6"/>
  <c r="H262" i="6"/>
  <c r="G261" i="6"/>
  <c r="R264" i="6"/>
  <c r="Q263" i="6"/>
  <c r="W262" i="6"/>
  <c r="Y262" i="6" s="1"/>
  <c r="U262" i="6"/>
  <c r="V262" i="6"/>
  <c r="S262" i="6"/>
  <c r="X262" i="6" s="1"/>
  <c r="T262" i="6"/>
  <c r="N259" i="6" l="1"/>
  <c r="O259" i="6"/>
  <c r="O260" i="6" s="1"/>
  <c r="N260" i="6"/>
  <c r="G262" i="6"/>
  <c r="H263" i="6"/>
  <c r="J261" i="6"/>
  <c r="K261" i="6"/>
  <c r="I261" i="6"/>
  <c r="T263" i="6"/>
  <c r="U263" i="6"/>
  <c r="W263" i="6"/>
  <c r="Y263" i="6" s="1"/>
  <c r="S263" i="6"/>
  <c r="X263" i="6" s="1"/>
  <c r="V263" i="6"/>
  <c r="R265" i="6"/>
  <c r="Q264" i="6"/>
  <c r="L261" i="6" l="1"/>
  <c r="M261" i="6" s="1"/>
  <c r="O261" i="6" s="1"/>
  <c r="G263" i="6"/>
  <c r="H264" i="6"/>
  <c r="K262" i="6"/>
  <c r="I262" i="6"/>
  <c r="J262" i="6"/>
  <c r="Q265" i="6"/>
  <c r="R266" i="6"/>
  <c r="V264" i="6"/>
  <c r="T264" i="6"/>
  <c r="W264" i="6"/>
  <c r="Y264" i="6" s="1"/>
  <c r="S264" i="6"/>
  <c r="X264" i="6" s="1"/>
  <c r="U264" i="6"/>
  <c r="N262" i="6" l="1"/>
  <c r="L262" i="6"/>
  <c r="M262" i="6"/>
  <c r="O262" i="6" s="1"/>
  <c r="N261" i="6"/>
  <c r="H265" i="6"/>
  <c r="G264" i="6"/>
  <c r="J263" i="6"/>
  <c r="K263" i="6"/>
  <c r="I263" i="6"/>
  <c r="Q266" i="6"/>
  <c r="R267" i="6"/>
  <c r="U265" i="6"/>
  <c r="T265" i="6"/>
  <c r="V265" i="6"/>
  <c r="W265" i="6"/>
  <c r="Y265" i="6" s="1"/>
  <c r="S265" i="6"/>
  <c r="X265" i="6" s="1"/>
  <c r="N263" i="6" l="1"/>
  <c r="L263" i="6"/>
  <c r="M263" i="6" s="1"/>
  <c r="O263" i="6" s="1"/>
  <c r="J264" i="6"/>
  <c r="I264" i="6"/>
  <c r="K264" i="6"/>
  <c r="L264" i="6"/>
  <c r="M264" i="6" s="1"/>
  <c r="G265" i="6"/>
  <c r="H266" i="6"/>
  <c r="Q267" i="6"/>
  <c r="R268" i="6"/>
  <c r="U266" i="6"/>
  <c r="W266" i="6"/>
  <c r="Y266" i="6" s="1"/>
  <c r="T266" i="6"/>
  <c r="V266" i="6"/>
  <c r="S266" i="6"/>
  <c r="X266" i="6" s="1"/>
  <c r="N264" i="6" l="1"/>
  <c r="O264" i="6"/>
  <c r="H267" i="6"/>
  <c r="G266" i="6"/>
  <c r="J265" i="6"/>
  <c r="I265" i="6"/>
  <c r="L265" i="6" s="1"/>
  <c r="M265" i="6" s="1"/>
  <c r="K265" i="6"/>
  <c r="Q268" i="6"/>
  <c r="R269" i="6"/>
  <c r="W267" i="6"/>
  <c r="Y267" i="6" s="1"/>
  <c r="S267" i="6"/>
  <c r="X267" i="6" s="1"/>
  <c r="T267" i="6"/>
  <c r="U267" i="6"/>
  <c r="V267" i="6"/>
  <c r="N265" i="6" l="1"/>
  <c r="O265" i="6"/>
  <c r="J266" i="6"/>
  <c r="I266" i="6"/>
  <c r="K266" i="6"/>
  <c r="G267" i="6"/>
  <c r="H268" i="6"/>
  <c r="Q269" i="6"/>
  <c r="R270" i="6"/>
  <c r="U268" i="6"/>
  <c r="T268" i="6"/>
  <c r="V268" i="6"/>
  <c r="W268" i="6"/>
  <c r="Y268" i="6" s="1"/>
  <c r="S268" i="6"/>
  <c r="X268" i="6" s="1"/>
  <c r="L266" i="6" l="1"/>
  <c r="M266" i="6" s="1"/>
  <c r="O266" i="6" s="1"/>
  <c r="K267" i="6"/>
  <c r="J267" i="6"/>
  <c r="I267" i="6"/>
  <c r="H269" i="6"/>
  <c r="G268" i="6"/>
  <c r="Q270" i="6"/>
  <c r="R271" i="6"/>
  <c r="U269" i="6"/>
  <c r="T269" i="6"/>
  <c r="V269" i="6"/>
  <c r="W269" i="6"/>
  <c r="Y269" i="6" s="1"/>
  <c r="S269" i="6"/>
  <c r="X269" i="6" s="1"/>
  <c r="M267" i="6" l="1"/>
  <c r="O267" i="6" s="1"/>
  <c r="N266" i="6"/>
  <c r="L267" i="6"/>
  <c r="J268" i="6"/>
  <c r="K268" i="6"/>
  <c r="I268" i="6"/>
  <c r="H270" i="6"/>
  <c r="G269" i="6"/>
  <c r="Q271" i="6"/>
  <c r="R272" i="6"/>
  <c r="T270" i="6"/>
  <c r="U270" i="6"/>
  <c r="W270" i="6"/>
  <c r="Y270" i="6" s="1"/>
  <c r="S270" i="6"/>
  <c r="X270" i="6" s="1"/>
  <c r="V270" i="6"/>
  <c r="L268" i="6" l="1"/>
  <c r="M268" i="6" s="1"/>
  <c r="N267" i="6"/>
  <c r="J269" i="6"/>
  <c r="I269" i="6"/>
  <c r="K269" i="6"/>
  <c r="L269" i="6"/>
  <c r="H271" i="6"/>
  <c r="G270" i="6"/>
  <c r="Q272" i="6"/>
  <c r="R273" i="6"/>
  <c r="W271" i="6"/>
  <c r="Y271" i="6" s="1"/>
  <c r="S271" i="6"/>
  <c r="X271" i="6" s="1"/>
  <c r="U271" i="6"/>
  <c r="V271" i="6"/>
  <c r="T271" i="6"/>
  <c r="N268" i="6" l="1"/>
  <c r="M269" i="6"/>
  <c r="N269" i="6" s="1"/>
  <c r="O268" i="6"/>
  <c r="K270" i="6"/>
  <c r="I270" i="6"/>
  <c r="J270" i="6"/>
  <c r="L270" i="6" s="1"/>
  <c r="M270" i="6" s="1"/>
  <c r="H272" i="6"/>
  <c r="G271" i="6"/>
  <c r="R274" i="6"/>
  <c r="Q273" i="6"/>
  <c r="V272" i="6"/>
  <c r="T272" i="6"/>
  <c r="W272" i="6"/>
  <c r="Y272" i="6" s="1"/>
  <c r="U272" i="6"/>
  <c r="S272" i="6"/>
  <c r="X272" i="6" s="1"/>
  <c r="N270" i="6" l="1"/>
  <c r="O269" i="6"/>
  <c r="O270" i="6" s="1"/>
  <c r="G272" i="6"/>
  <c r="H273" i="6"/>
  <c r="K271" i="6"/>
  <c r="I271" i="6"/>
  <c r="J271" i="6"/>
  <c r="L271" i="6" s="1"/>
  <c r="M271" i="6" s="1"/>
  <c r="U273" i="6"/>
  <c r="W273" i="6"/>
  <c r="Y273" i="6" s="1"/>
  <c r="T273" i="6"/>
  <c r="V273" i="6"/>
  <c r="S273" i="6"/>
  <c r="X273" i="6" s="1"/>
  <c r="Q274" i="6"/>
  <c r="R275" i="6"/>
  <c r="N271" i="6" l="1"/>
  <c r="O271" i="6"/>
  <c r="H274" i="6"/>
  <c r="G273" i="6"/>
  <c r="J272" i="6"/>
  <c r="K272" i="6"/>
  <c r="I272" i="6"/>
  <c r="Q275" i="6"/>
  <c r="R276" i="6"/>
  <c r="U274" i="6"/>
  <c r="V274" i="6"/>
  <c r="T274" i="6"/>
  <c r="W274" i="6"/>
  <c r="Y274" i="6" s="1"/>
  <c r="S274" i="6"/>
  <c r="X274" i="6" s="1"/>
  <c r="L272" i="6" l="1"/>
  <c r="M272" i="6" s="1"/>
  <c r="O272" i="6" s="1"/>
  <c r="I273" i="6"/>
  <c r="K273" i="6"/>
  <c r="J273" i="6"/>
  <c r="L273" i="6" s="1"/>
  <c r="G274" i="6"/>
  <c r="H275" i="6"/>
  <c r="T275" i="6"/>
  <c r="V275" i="6"/>
  <c r="W275" i="6"/>
  <c r="Y275" i="6" s="1"/>
  <c r="S275" i="6"/>
  <c r="X275" i="6" s="1"/>
  <c r="U275" i="6"/>
  <c r="Q276" i="6"/>
  <c r="R277" i="6"/>
  <c r="N272" i="6" l="1"/>
  <c r="M273" i="6"/>
  <c r="N273" i="6" s="1"/>
  <c r="G275" i="6"/>
  <c r="H276" i="6"/>
  <c r="J274" i="6"/>
  <c r="K274" i="6"/>
  <c r="I274" i="6"/>
  <c r="L274" i="6" s="1"/>
  <c r="T276" i="6"/>
  <c r="W276" i="6"/>
  <c r="Y276" i="6" s="1"/>
  <c r="S276" i="6"/>
  <c r="X276" i="6" s="1"/>
  <c r="U276" i="6"/>
  <c r="V276" i="6"/>
  <c r="Q277" i="6"/>
  <c r="R278" i="6"/>
  <c r="O273" i="6" l="1"/>
  <c r="N274" i="6"/>
  <c r="M274" i="6"/>
  <c r="H277" i="6"/>
  <c r="G276" i="6"/>
  <c r="K275" i="6"/>
  <c r="I275" i="6"/>
  <c r="L275" i="6" s="1"/>
  <c r="M275" i="6" s="1"/>
  <c r="J275" i="6"/>
  <c r="V277" i="6"/>
  <c r="S277" i="6"/>
  <c r="X277" i="6" s="1"/>
  <c r="U277" i="6"/>
  <c r="T277" i="6"/>
  <c r="W277" i="6"/>
  <c r="Y277" i="6" s="1"/>
  <c r="Q278" i="6"/>
  <c r="R279" i="6"/>
  <c r="O274" i="6" l="1"/>
  <c r="O275" i="6" s="1"/>
  <c r="N275" i="6"/>
  <c r="K276" i="6"/>
  <c r="I276" i="6"/>
  <c r="J276" i="6"/>
  <c r="H278" i="6"/>
  <c r="G277" i="6"/>
  <c r="T278" i="6"/>
  <c r="W278" i="6"/>
  <c r="Y278" i="6" s="1"/>
  <c r="S278" i="6"/>
  <c r="X278" i="6" s="1"/>
  <c r="U278" i="6"/>
  <c r="V278" i="6"/>
  <c r="Q279" i="6"/>
  <c r="R280" i="6"/>
  <c r="L276" i="6" l="1"/>
  <c r="M276" i="6" s="1"/>
  <c r="O276" i="6" s="1"/>
  <c r="K277" i="6"/>
  <c r="I277" i="6"/>
  <c r="J277" i="6"/>
  <c r="L277" i="6" s="1"/>
  <c r="G278" i="6"/>
  <c r="H279" i="6"/>
  <c r="U279" i="6"/>
  <c r="W279" i="6"/>
  <c r="Y279" i="6" s="1"/>
  <c r="V279" i="6"/>
  <c r="T279" i="6"/>
  <c r="S279" i="6"/>
  <c r="X279" i="6" s="1"/>
  <c r="Q280" i="6"/>
  <c r="R281" i="6"/>
  <c r="N276" i="6" l="1"/>
  <c r="M277" i="6"/>
  <c r="N277" i="6" s="1"/>
  <c r="J278" i="6"/>
  <c r="I278" i="6"/>
  <c r="K278" i="6"/>
  <c r="L278" i="6"/>
  <c r="G279" i="6"/>
  <c r="H280" i="6"/>
  <c r="S280" i="6"/>
  <c r="X280" i="6" s="1"/>
  <c r="V280" i="6"/>
  <c r="W280" i="6"/>
  <c r="Y280" i="6" s="1"/>
  <c r="U280" i="6"/>
  <c r="T280" i="6"/>
  <c r="Q281" i="6"/>
  <c r="R282" i="6"/>
  <c r="N278" i="6" l="1"/>
  <c r="O277" i="6"/>
  <c r="M278" i="6"/>
  <c r="G280" i="6"/>
  <c r="H281" i="6"/>
  <c r="J279" i="6"/>
  <c r="I279" i="6"/>
  <c r="K279" i="6"/>
  <c r="L279" i="6" s="1"/>
  <c r="M279" i="6" s="1"/>
  <c r="W281" i="6"/>
  <c r="Y281" i="6" s="1"/>
  <c r="U281" i="6"/>
  <c r="T281" i="6"/>
  <c r="S281" i="6"/>
  <c r="X281" i="6" s="1"/>
  <c r="V281" i="6"/>
  <c r="Q282" i="6"/>
  <c r="R283" i="6"/>
  <c r="O278" i="6" l="1"/>
  <c r="O279" i="6" s="1"/>
  <c r="N279" i="6"/>
  <c r="H282" i="6"/>
  <c r="G281" i="6"/>
  <c r="J280" i="6"/>
  <c r="I280" i="6"/>
  <c r="K280" i="6"/>
  <c r="L280" i="6" s="1"/>
  <c r="M280" i="6" s="1"/>
  <c r="W282" i="6"/>
  <c r="Y282" i="6" s="1"/>
  <c r="S282" i="6"/>
  <c r="X282" i="6" s="1"/>
  <c r="V282" i="6"/>
  <c r="T282" i="6"/>
  <c r="U282" i="6"/>
  <c r="R284" i="6"/>
  <c r="Q283" i="6"/>
  <c r="N280" i="6" l="1"/>
  <c r="O280" i="6"/>
  <c r="K281" i="6"/>
  <c r="J281" i="6"/>
  <c r="I281" i="6"/>
  <c r="G282" i="6"/>
  <c r="H283" i="6"/>
  <c r="Q284" i="6"/>
  <c r="R285" i="6"/>
  <c r="U283" i="6"/>
  <c r="V283" i="6"/>
  <c r="T283" i="6"/>
  <c r="W283" i="6"/>
  <c r="Y283" i="6" s="1"/>
  <c r="S283" i="6"/>
  <c r="X283" i="6" s="1"/>
  <c r="L281" i="6" l="1"/>
  <c r="M281" i="6" s="1"/>
  <c r="O281" i="6" s="1"/>
  <c r="G283" i="6"/>
  <c r="H284" i="6"/>
  <c r="I282" i="6"/>
  <c r="J282" i="6"/>
  <c r="L282" i="6" s="1"/>
  <c r="K282" i="6"/>
  <c r="Q285" i="6"/>
  <c r="R286" i="6"/>
  <c r="W284" i="6"/>
  <c r="Y284" i="6" s="1"/>
  <c r="S284" i="6"/>
  <c r="X284" i="6" s="1"/>
  <c r="V284" i="6"/>
  <c r="U284" i="6"/>
  <c r="T284" i="6"/>
  <c r="N281" i="6" l="1"/>
  <c r="M282" i="6"/>
  <c r="N282" i="6" s="1"/>
  <c r="G284" i="6"/>
  <c r="H285" i="6"/>
  <c r="I283" i="6"/>
  <c r="L283" i="6"/>
  <c r="K283" i="6"/>
  <c r="J283" i="6"/>
  <c r="U285" i="6"/>
  <c r="V285" i="6"/>
  <c r="T285" i="6"/>
  <c r="W285" i="6"/>
  <c r="Y285" i="6" s="1"/>
  <c r="S285" i="6"/>
  <c r="X285" i="6" s="1"/>
  <c r="Q286" i="6"/>
  <c r="R287" i="6"/>
  <c r="M283" i="6" l="1"/>
  <c r="O282" i="6"/>
  <c r="H286" i="6"/>
  <c r="G285" i="6"/>
  <c r="K284" i="6"/>
  <c r="I284" i="6"/>
  <c r="J284" i="6"/>
  <c r="W286" i="6"/>
  <c r="Y286" i="6" s="1"/>
  <c r="S286" i="6"/>
  <c r="X286" i="6" s="1"/>
  <c r="U286" i="6"/>
  <c r="T286" i="6"/>
  <c r="V286" i="6"/>
  <c r="R288" i="6"/>
  <c r="Q287" i="6"/>
  <c r="O283" i="6" l="1"/>
  <c r="M284" i="6"/>
  <c r="N284" i="6"/>
  <c r="N283" i="6"/>
  <c r="L284" i="6"/>
  <c r="K285" i="6"/>
  <c r="J285" i="6"/>
  <c r="I285" i="6"/>
  <c r="H287" i="6"/>
  <c r="G286" i="6"/>
  <c r="R289" i="6"/>
  <c r="Q288" i="6"/>
  <c r="V287" i="6"/>
  <c r="T287" i="6"/>
  <c r="W287" i="6"/>
  <c r="Y287" i="6" s="1"/>
  <c r="U287" i="6"/>
  <c r="S287" i="6"/>
  <c r="X287" i="6" s="1"/>
  <c r="O284" i="6" l="1"/>
  <c r="M285" i="6"/>
  <c r="L285" i="6"/>
  <c r="H288" i="6"/>
  <c r="G287" i="6"/>
  <c r="J286" i="6"/>
  <c r="L286" i="6" s="1"/>
  <c r="K286" i="6"/>
  <c r="I286" i="6"/>
  <c r="Q289" i="6"/>
  <c r="R290" i="6"/>
  <c r="U288" i="6"/>
  <c r="T288" i="6"/>
  <c r="W288" i="6"/>
  <c r="Y288" i="6" s="1"/>
  <c r="V288" i="6"/>
  <c r="S288" i="6"/>
  <c r="X288" i="6" s="1"/>
  <c r="O285" i="6" l="1"/>
  <c r="N285" i="6"/>
  <c r="M286" i="6"/>
  <c r="N286" i="6" s="1"/>
  <c r="I287" i="6"/>
  <c r="K287" i="6"/>
  <c r="J287" i="6"/>
  <c r="G288" i="6"/>
  <c r="H289" i="6"/>
  <c r="R291" i="6"/>
  <c r="Q290" i="6"/>
  <c r="W289" i="6"/>
  <c r="Y289" i="6" s="1"/>
  <c r="V289" i="6"/>
  <c r="U289" i="6"/>
  <c r="S289" i="6"/>
  <c r="X289" i="6" s="1"/>
  <c r="T289" i="6"/>
  <c r="L287" i="6" l="1"/>
  <c r="M287" i="6" s="1"/>
  <c r="O286" i="6"/>
  <c r="K288" i="6"/>
  <c r="J288" i="6"/>
  <c r="I288" i="6"/>
  <c r="H290" i="6"/>
  <c r="G289" i="6"/>
  <c r="Q291" i="6"/>
  <c r="R292" i="6"/>
  <c r="S290" i="6"/>
  <c r="X290" i="6" s="1"/>
  <c r="W290" i="6"/>
  <c r="Y290" i="6" s="1"/>
  <c r="U290" i="6"/>
  <c r="T290" i="6"/>
  <c r="V290" i="6"/>
  <c r="M288" i="6" l="1"/>
  <c r="O287" i="6"/>
  <c r="N287" i="6"/>
  <c r="L288" i="6"/>
  <c r="G290" i="6"/>
  <c r="H291" i="6"/>
  <c r="I289" i="6"/>
  <c r="K289" i="6"/>
  <c r="J289" i="6"/>
  <c r="Q292" i="6"/>
  <c r="R293" i="6"/>
  <c r="V291" i="6"/>
  <c r="S291" i="6"/>
  <c r="X291" i="6" s="1"/>
  <c r="U291" i="6"/>
  <c r="W291" i="6"/>
  <c r="Y291" i="6" s="1"/>
  <c r="T291" i="6"/>
  <c r="O288" i="6" l="1"/>
  <c r="M289" i="6"/>
  <c r="N289" i="6"/>
  <c r="L289" i="6"/>
  <c r="N288" i="6"/>
  <c r="H292" i="6"/>
  <c r="G291" i="6"/>
  <c r="K290" i="6"/>
  <c r="I290" i="6"/>
  <c r="L290" i="6" s="1"/>
  <c r="J290" i="6"/>
  <c r="Q293" i="6"/>
  <c r="R294" i="6"/>
  <c r="V292" i="6"/>
  <c r="T292" i="6"/>
  <c r="U292" i="6"/>
  <c r="S292" i="6"/>
  <c r="X292" i="6" s="1"/>
  <c r="W292" i="6"/>
  <c r="Y292" i="6" s="1"/>
  <c r="M290" i="6" l="1"/>
  <c r="N290" i="6" s="1"/>
  <c r="O289" i="6"/>
  <c r="K291" i="6"/>
  <c r="I291" i="6"/>
  <c r="L291" i="6"/>
  <c r="J291" i="6"/>
  <c r="G292" i="6"/>
  <c r="H293" i="6"/>
  <c r="U293" i="6"/>
  <c r="V293" i="6"/>
  <c r="S293" i="6"/>
  <c r="X293" i="6" s="1"/>
  <c r="W293" i="6"/>
  <c r="Y293" i="6" s="1"/>
  <c r="T293" i="6"/>
  <c r="Q294" i="6"/>
  <c r="R295" i="6"/>
  <c r="O290" i="6" l="1"/>
  <c r="M291" i="6"/>
  <c r="N291" i="6"/>
  <c r="H294" i="6"/>
  <c r="G293" i="6"/>
  <c r="J292" i="6"/>
  <c r="K292" i="6"/>
  <c r="I292" i="6"/>
  <c r="L292" i="6" s="1"/>
  <c r="W294" i="6"/>
  <c r="Y294" i="6" s="1"/>
  <c r="U294" i="6"/>
  <c r="V294" i="6"/>
  <c r="T294" i="6"/>
  <c r="S294" i="6"/>
  <c r="X294" i="6" s="1"/>
  <c r="Q295" i="6"/>
  <c r="R296" i="6"/>
  <c r="O291" i="6" l="1"/>
  <c r="M292" i="6"/>
  <c r="N292" i="6"/>
  <c r="K293" i="6"/>
  <c r="J293" i="6"/>
  <c r="I293" i="6"/>
  <c r="L293" i="6" s="1"/>
  <c r="H295" i="6"/>
  <c r="G294" i="6"/>
  <c r="T295" i="6"/>
  <c r="S295" i="6"/>
  <c r="X295" i="6" s="1"/>
  <c r="V295" i="6"/>
  <c r="W295" i="6"/>
  <c r="Y295" i="6" s="1"/>
  <c r="U295" i="6"/>
  <c r="Q296" i="6"/>
  <c r="R297" i="6"/>
  <c r="O292" i="6" l="1"/>
  <c r="M293" i="6"/>
  <c r="J294" i="6"/>
  <c r="I294" i="6"/>
  <c r="K294" i="6"/>
  <c r="G295" i="6"/>
  <c r="H296" i="6"/>
  <c r="T296" i="6"/>
  <c r="S296" i="6"/>
  <c r="X296" i="6" s="1"/>
  <c r="W296" i="6"/>
  <c r="Y296" i="6" s="1"/>
  <c r="U296" i="6"/>
  <c r="V296" i="6"/>
  <c r="Q297" i="6"/>
  <c r="R298" i="6"/>
  <c r="O293" i="6" l="1"/>
  <c r="N293" i="6"/>
  <c r="N294" i="6"/>
  <c r="L294" i="6"/>
  <c r="M294" i="6"/>
  <c r="I295" i="6"/>
  <c r="K295" i="6"/>
  <c r="J295" i="6"/>
  <c r="L295" i="6" s="1"/>
  <c r="M295" i="6" s="1"/>
  <c r="H297" i="6"/>
  <c r="G296" i="6"/>
  <c r="T297" i="6"/>
  <c r="V297" i="6"/>
  <c r="W297" i="6"/>
  <c r="Y297" i="6" s="1"/>
  <c r="U297" i="6"/>
  <c r="S297" i="6"/>
  <c r="X297" i="6" s="1"/>
  <c r="Q298" i="6"/>
  <c r="R299" i="6"/>
  <c r="O294" i="6" l="1"/>
  <c r="O295" i="6" s="1"/>
  <c r="N295" i="6"/>
  <c r="G297" i="6"/>
  <c r="H298" i="6"/>
  <c r="I296" i="6"/>
  <c r="K296" i="6"/>
  <c r="J296" i="6"/>
  <c r="L296" i="6" s="1"/>
  <c r="M296" i="6" s="1"/>
  <c r="W298" i="6"/>
  <c r="Y298" i="6" s="1"/>
  <c r="V298" i="6"/>
  <c r="S298" i="6"/>
  <c r="X298" i="6" s="1"/>
  <c r="T298" i="6"/>
  <c r="U298" i="6"/>
  <c r="Q299" i="6"/>
  <c r="R300" i="6"/>
  <c r="N296" i="6" l="1"/>
  <c r="O296" i="6"/>
  <c r="G298" i="6"/>
  <c r="H299" i="6"/>
  <c r="K297" i="6"/>
  <c r="I297" i="6"/>
  <c r="J297" i="6"/>
  <c r="U299" i="6"/>
  <c r="T299" i="6"/>
  <c r="V299" i="6"/>
  <c r="S299" i="6"/>
  <c r="X299" i="6" s="1"/>
  <c r="W299" i="6"/>
  <c r="Y299" i="6" s="1"/>
  <c r="Q300" i="6"/>
  <c r="R301" i="6"/>
  <c r="L297" i="6" l="1"/>
  <c r="M297" i="6" s="1"/>
  <c r="O297" i="6" s="1"/>
  <c r="G299" i="6"/>
  <c r="H300" i="6"/>
  <c r="J298" i="6"/>
  <c r="K298" i="6"/>
  <c r="I298" i="6"/>
  <c r="T300" i="6"/>
  <c r="W300" i="6"/>
  <c r="Y300" i="6" s="1"/>
  <c r="U300" i="6"/>
  <c r="S300" i="6"/>
  <c r="X300" i="6" s="1"/>
  <c r="V300" i="6"/>
  <c r="Q301" i="6"/>
  <c r="R302" i="6"/>
  <c r="N298" i="6" l="1"/>
  <c r="N297" i="6"/>
  <c r="L298" i="6"/>
  <c r="M298" i="6"/>
  <c r="O298" i="6" s="1"/>
  <c r="H301" i="6"/>
  <c r="G300" i="6"/>
  <c r="J299" i="6"/>
  <c r="K299" i="6"/>
  <c r="L299" i="6" s="1"/>
  <c r="M299" i="6" s="1"/>
  <c r="I299" i="6"/>
  <c r="T301" i="6"/>
  <c r="W301" i="6"/>
  <c r="Y301" i="6" s="1"/>
  <c r="V301" i="6"/>
  <c r="S301" i="6"/>
  <c r="X301" i="6" s="1"/>
  <c r="U301" i="6"/>
  <c r="Q302" i="6"/>
  <c r="R303" i="6"/>
  <c r="N299" i="6" l="1"/>
  <c r="O299" i="6"/>
  <c r="I300" i="6"/>
  <c r="J300" i="6"/>
  <c r="L300" i="6" s="1"/>
  <c r="M300" i="6" s="1"/>
  <c r="K300" i="6"/>
  <c r="H302" i="6"/>
  <c r="G301" i="6"/>
  <c r="T302" i="6"/>
  <c r="W302" i="6"/>
  <c r="Y302" i="6" s="1"/>
  <c r="V302" i="6"/>
  <c r="U302" i="6"/>
  <c r="S302" i="6"/>
  <c r="X302" i="6" s="1"/>
  <c r="Q303" i="6"/>
  <c r="R304" i="6"/>
  <c r="N300" i="6" l="1"/>
  <c r="O300" i="6"/>
  <c r="J301" i="6"/>
  <c r="I301" i="6"/>
  <c r="K301" i="6"/>
  <c r="L301" i="6" s="1"/>
  <c r="M301" i="6" s="1"/>
  <c r="H303" i="6"/>
  <c r="G302" i="6"/>
  <c r="R305" i="6"/>
  <c r="Q304" i="6"/>
  <c r="W303" i="6"/>
  <c r="Y303" i="6" s="1"/>
  <c r="U303" i="6"/>
  <c r="V303" i="6"/>
  <c r="T303" i="6"/>
  <c r="S303" i="6"/>
  <c r="X303" i="6" s="1"/>
  <c r="N301" i="6" l="1"/>
  <c r="O301" i="6"/>
  <c r="I302" i="6"/>
  <c r="K302" i="6"/>
  <c r="J302" i="6"/>
  <c r="L302" i="6" s="1"/>
  <c r="M302" i="6" s="1"/>
  <c r="G303" i="6"/>
  <c r="H304" i="6"/>
  <c r="Q305" i="6"/>
  <c r="R306" i="6"/>
  <c r="W304" i="6"/>
  <c r="Y304" i="6" s="1"/>
  <c r="S304" i="6"/>
  <c r="X304" i="6" s="1"/>
  <c r="T304" i="6"/>
  <c r="U304" i="6"/>
  <c r="V304" i="6"/>
  <c r="N302" i="6" l="1"/>
  <c r="O302" i="6"/>
  <c r="J303" i="6"/>
  <c r="I303" i="6"/>
  <c r="K303" i="6"/>
  <c r="H305" i="6"/>
  <c r="G304" i="6"/>
  <c r="R307" i="6"/>
  <c r="Q306" i="6"/>
  <c r="T305" i="6"/>
  <c r="U305" i="6"/>
  <c r="S305" i="6"/>
  <c r="X305" i="6" s="1"/>
  <c r="V305" i="6"/>
  <c r="W305" i="6"/>
  <c r="Y305" i="6" s="1"/>
  <c r="L303" i="6" l="1"/>
  <c r="M303" i="6" s="1"/>
  <c r="N303" i="6" s="1"/>
  <c r="H306" i="6"/>
  <c r="G305" i="6"/>
  <c r="J304" i="6"/>
  <c r="K304" i="6"/>
  <c r="I304" i="6"/>
  <c r="T306" i="6"/>
  <c r="V306" i="6"/>
  <c r="W306" i="6"/>
  <c r="Y306" i="6" s="1"/>
  <c r="S306" i="6"/>
  <c r="X306" i="6" s="1"/>
  <c r="U306" i="6"/>
  <c r="R308" i="6"/>
  <c r="Q307" i="6"/>
  <c r="L304" i="6" l="1"/>
  <c r="M304" i="6" s="1"/>
  <c r="O303" i="6"/>
  <c r="J305" i="6"/>
  <c r="L305" i="6" s="1"/>
  <c r="I305" i="6"/>
  <c r="K305" i="6"/>
  <c r="G306" i="6"/>
  <c r="H307" i="6"/>
  <c r="R309" i="6"/>
  <c r="Q308" i="6"/>
  <c r="U307" i="6"/>
  <c r="W307" i="6"/>
  <c r="Y307" i="6" s="1"/>
  <c r="T307" i="6"/>
  <c r="V307" i="6"/>
  <c r="S307" i="6"/>
  <c r="X307" i="6" s="1"/>
  <c r="N304" i="6" l="1"/>
  <c r="O304" i="6"/>
  <c r="M305" i="6"/>
  <c r="N305" i="6"/>
  <c r="G307" i="6"/>
  <c r="H308" i="6"/>
  <c r="I306" i="6"/>
  <c r="K306" i="6"/>
  <c r="J306" i="6"/>
  <c r="T308" i="6"/>
  <c r="U308" i="6"/>
  <c r="V308" i="6"/>
  <c r="W308" i="6"/>
  <c r="Y308" i="6" s="1"/>
  <c r="S308" i="6"/>
  <c r="X308" i="6" s="1"/>
  <c r="Q309" i="6"/>
  <c r="R310" i="6"/>
  <c r="O305" i="6" l="1"/>
  <c r="L306" i="6"/>
  <c r="M306" i="6" s="1"/>
  <c r="H309" i="6"/>
  <c r="G308" i="6"/>
  <c r="I307" i="6"/>
  <c r="J307" i="6"/>
  <c r="K307" i="6"/>
  <c r="U309" i="6"/>
  <c r="T309" i="6"/>
  <c r="V309" i="6"/>
  <c r="W309" i="6"/>
  <c r="Y309" i="6" s="1"/>
  <c r="S309" i="6"/>
  <c r="X309" i="6" s="1"/>
  <c r="Q310" i="6"/>
  <c r="R311" i="6"/>
  <c r="M307" i="6" l="1"/>
  <c r="N307" i="6" s="1"/>
  <c r="N306" i="6"/>
  <c r="L307" i="6"/>
  <c r="O306" i="6"/>
  <c r="J308" i="6"/>
  <c r="K308" i="6"/>
  <c r="I308" i="6"/>
  <c r="H310" i="6"/>
  <c r="G309" i="6"/>
  <c r="U310" i="6"/>
  <c r="W310" i="6"/>
  <c r="Y310" i="6" s="1"/>
  <c r="T310" i="6"/>
  <c r="V310" i="6"/>
  <c r="S310" i="6"/>
  <c r="X310" i="6" s="1"/>
  <c r="Q311" i="6"/>
  <c r="R312" i="6"/>
  <c r="M308" i="6" l="1"/>
  <c r="N308" i="6"/>
  <c r="O307" i="6"/>
  <c r="L308" i="6"/>
  <c r="I309" i="6"/>
  <c r="K309" i="6"/>
  <c r="J309" i="6"/>
  <c r="L309" i="6"/>
  <c r="H311" i="6"/>
  <c r="G310" i="6"/>
  <c r="W311" i="6"/>
  <c r="Y311" i="6" s="1"/>
  <c r="S311" i="6"/>
  <c r="X311" i="6" s="1"/>
  <c r="T311" i="6"/>
  <c r="V311" i="6"/>
  <c r="U311" i="6"/>
  <c r="Q312" i="6"/>
  <c r="R313" i="6"/>
  <c r="O308" i="6" l="1"/>
  <c r="M309" i="6"/>
  <c r="N309" i="6"/>
  <c r="J310" i="6"/>
  <c r="K310" i="6"/>
  <c r="I310" i="6"/>
  <c r="H312" i="6"/>
  <c r="G311" i="6"/>
  <c r="T312" i="6"/>
  <c r="V312" i="6"/>
  <c r="U312" i="6"/>
  <c r="W312" i="6"/>
  <c r="Y312" i="6" s="1"/>
  <c r="S312" i="6"/>
  <c r="X312" i="6" s="1"/>
  <c r="Q313" i="6"/>
  <c r="R314" i="6"/>
  <c r="O309" i="6" l="1"/>
  <c r="L310" i="6"/>
  <c r="M310" i="6" s="1"/>
  <c r="H313" i="6"/>
  <c r="G312" i="6"/>
  <c r="J311" i="6"/>
  <c r="K311" i="6"/>
  <c r="L311" i="6"/>
  <c r="I311" i="6"/>
  <c r="W313" i="6"/>
  <c r="Y313" i="6" s="1"/>
  <c r="T313" i="6"/>
  <c r="U313" i="6"/>
  <c r="S313" i="6"/>
  <c r="X313" i="6" s="1"/>
  <c r="V313" i="6"/>
  <c r="Q314" i="6"/>
  <c r="R315" i="6"/>
  <c r="O310" i="6" l="1"/>
  <c r="M311" i="6"/>
  <c r="N311" i="6" s="1"/>
  <c r="N310" i="6"/>
  <c r="J312" i="6"/>
  <c r="K312" i="6"/>
  <c r="I312" i="6"/>
  <c r="L312" i="6"/>
  <c r="M312" i="6"/>
  <c r="G313" i="6"/>
  <c r="H314" i="6"/>
  <c r="U314" i="6"/>
  <c r="W314" i="6"/>
  <c r="Y314" i="6" s="1"/>
  <c r="T314" i="6"/>
  <c r="V314" i="6"/>
  <c r="S314" i="6"/>
  <c r="X314" i="6" s="1"/>
  <c r="Q315" i="6"/>
  <c r="R316" i="6"/>
  <c r="O311" i="6" l="1"/>
  <c r="O312" i="6" s="1"/>
  <c r="N312" i="6"/>
  <c r="G314" i="6"/>
  <c r="H315" i="6"/>
  <c r="J313" i="6"/>
  <c r="I313" i="6"/>
  <c r="L313" i="6" s="1"/>
  <c r="M313" i="6" s="1"/>
  <c r="K313" i="6"/>
  <c r="T315" i="6"/>
  <c r="W315" i="6"/>
  <c r="Y315" i="6" s="1"/>
  <c r="U315" i="6"/>
  <c r="V315" i="6"/>
  <c r="S315" i="6"/>
  <c r="X315" i="6" s="1"/>
  <c r="R317" i="6"/>
  <c r="Q316" i="6"/>
  <c r="N313" i="6" l="1"/>
  <c r="O313" i="6"/>
  <c r="H316" i="6"/>
  <c r="G315" i="6"/>
  <c r="J314" i="6"/>
  <c r="K314" i="6"/>
  <c r="I314" i="6"/>
  <c r="L314" i="6" s="1"/>
  <c r="M314" i="6" s="1"/>
  <c r="Q317" i="6"/>
  <c r="R318" i="6"/>
  <c r="W316" i="6"/>
  <c r="Y316" i="6" s="1"/>
  <c r="U316" i="6"/>
  <c r="T316" i="6"/>
  <c r="V316" i="6"/>
  <c r="S316" i="6"/>
  <c r="X316" i="6" s="1"/>
  <c r="N314" i="6" l="1"/>
  <c r="O314" i="6"/>
  <c r="I315" i="6"/>
  <c r="K315" i="6"/>
  <c r="J315" i="6"/>
  <c r="G316" i="6"/>
  <c r="H317" i="6"/>
  <c r="Q318" i="6"/>
  <c r="R319" i="6"/>
  <c r="U317" i="6"/>
  <c r="T317" i="6"/>
  <c r="V317" i="6"/>
  <c r="S317" i="6"/>
  <c r="X317" i="6" s="1"/>
  <c r="W317" i="6"/>
  <c r="Y317" i="6" s="1"/>
  <c r="L315" i="6" l="1"/>
  <c r="M315" i="6" s="1"/>
  <c r="O315" i="6" s="1"/>
  <c r="H318" i="6"/>
  <c r="G317" i="6"/>
  <c r="K316" i="6"/>
  <c r="J316" i="6"/>
  <c r="I316" i="6"/>
  <c r="Q319" i="6"/>
  <c r="R320" i="6"/>
  <c r="U318" i="6"/>
  <c r="W318" i="6"/>
  <c r="Y318" i="6" s="1"/>
  <c r="V318" i="6"/>
  <c r="S318" i="6"/>
  <c r="X318" i="6" s="1"/>
  <c r="T318" i="6"/>
  <c r="M316" i="6" l="1"/>
  <c r="O316" i="6" s="1"/>
  <c r="N315" i="6"/>
  <c r="L316" i="6"/>
  <c r="I317" i="6"/>
  <c r="L317" i="6" s="1"/>
  <c r="J317" i="6"/>
  <c r="K317" i="6"/>
  <c r="H319" i="6"/>
  <c r="G318" i="6"/>
  <c r="R321" i="6"/>
  <c r="Q320" i="6"/>
  <c r="V319" i="6"/>
  <c r="U319" i="6"/>
  <c r="S319" i="6"/>
  <c r="X319" i="6" s="1"/>
  <c r="T319" i="6"/>
  <c r="W319" i="6"/>
  <c r="Y319" i="6" s="1"/>
  <c r="M317" i="6" l="1"/>
  <c r="N317" i="6" s="1"/>
  <c r="N316" i="6"/>
  <c r="G319" i="6"/>
  <c r="H320" i="6"/>
  <c r="I318" i="6"/>
  <c r="K318" i="6"/>
  <c r="J318" i="6"/>
  <c r="S320" i="6"/>
  <c r="X320" i="6" s="1"/>
  <c r="U320" i="6"/>
  <c r="V320" i="6"/>
  <c r="W320" i="6"/>
  <c r="Y320" i="6" s="1"/>
  <c r="T320" i="6"/>
  <c r="Q321" i="6"/>
  <c r="R322" i="6"/>
  <c r="N318" i="6" l="1"/>
  <c r="O317" i="6"/>
  <c r="L318" i="6"/>
  <c r="M318" i="6" s="1"/>
  <c r="H321" i="6"/>
  <c r="G320" i="6"/>
  <c r="I319" i="6"/>
  <c r="K319" i="6"/>
  <c r="L319" i="6"/>
  <c r="M319" i="6"/>
  <c r="J319" i="6"/>
  <c r="R323" i="6"/>
  <c r="Q322" i="6"/>
  <c r="V321" i="6"/>
  <c r="W321" i="6"/>
  <c r="Y321" i="6" s="1"/>
  <c r="U321" i="6"/>
  <c r="S321" i="6"/>
  <c r="X321" i="6" s="1"/>
  <c r="T321" i="6"/>
  <c r="O318" i="6" l="1"/>
  <c r="O319" i="6" s="1"/>
  <c r="N319" i="6"/>
  <c r="K320" i="6"/>
  <c r="I320" i="6"/>
  <c r="J320" i="6"/>
  <c r="L320" i="6" s="1"/>
  <c r="M320" i="6" s="1"/>
  <c r="H322" i="6"/>
  <c r="G321" i="6"/>
  <c r="W322" i="6"/>
  <c r="Y322" i="6" s="1"/>
  <c r="S322" i="6"/>
  <c r="X322" i="6" s="1"/>
  <c r="V322" i="6"/>
  <c r="U322" i="6"/>
  <c r="T322" i="6"/>
  <c r="R324" i="6"/>
  <c r="Q323" i="6"/>
  <c r="N320" i="6" l="1"/>
  <c r="O320" i="6"/>
  <c r="G322" i="6"/>
  <c r="H323" i="6"/>
  <c r="K321" i="6"/>
  <c r="J321" i="6"/>
  <c r="I321" i="6"/>
  <c r="L321" i="6"/>
  <c r="M321" i="6" s="1"/>
  <c r="R325" i="6"/>
  <c r="Q324" i="6"/>
  <c r="T323" i="6"/>
  <c r="V323" i="6"/>
  <c r="U323" i="6"/>
  <c r="W323" i="6"/>
  <c r="Y323" i="6" s="1"/>
  <c r="S323" i="6"/>
  <c r="X323" i="6" s="1"/>
  <c r="N321" i="6" l="1"/>
  <c r="O321" i="6"/>
  <c r="H324" i="6"/>
  <c r="G323" i="6"/>
  <c r="I322" i="6"/>
  <c r="J322" i="6"/>
  <c r="K322" i="6"/>
  <c r="U324" i="6"/>
  <c r="S324" i="6"/>
  <c r="X324" i="6" s="1"/>
  <c r="W324" i="6"/>
  <c r="Y324" i="6" s="1"/>
  <c r="T324" i="6"/>
  <c r="V324" i="6"/>
  <c r="R326" i="6"/>
  <c r="Q325" i="6"/>
  <c r="L322" i="6" l="1"/>
  <c r="M322" i="6" s="1"/>
  <c r="O322" i="6" s="1"/>
  <c r="J323" i="6"/>
  <c r="K323" i="6"/>
  <c r="I323" i="6"/>
  <c r="G324" i="6"/>
  <c r="H325" i="6"/>
  <c r="R327" i="6"/>
  <c r="Q326" i="6"/>
  <c r="U325" i="6"/>
  <c r="S325" i="6"/>
  <c r="X325" i="6" s="1"/>
  <c r="T325" i="6"/>
  <c r="W325" i="6"/>
  <c r="Y325" i="6" s="1"/>
  <c r="V325" i="6"/>
  <c r="N322" i="6" l="1"/>
  <c r="L323" i="6"/>
  <c r="M323" i="6" s="1"/>
  <c r="J324" i="6"/>
  <c r="K324" i="6"/>
  <c r="I324" i="6"/>
  <c r="H326" i="6"/>
  <c r="G325" i="6"/>
  <c r="U326" i="6"/>
  <c r="W326" i="6"/>
  <c r="Y326" i="6" s="1"/>
  <c r="S326" i="6"/>
  <c r="X326" i="6" s="1"/>
  <c r="T326" i="6"/>
  <c r="V326" i="6"/>
  <c r="Q327" i="6"/>
  <c r="R328" i="6"/>
  <c r="O323" i="6" l="1"/>
  <c r="N323" i="6"/>
  <c r="L324" i="6"/>
  <c r="M324" i="6" s="1"/>
  <c r="H327" i="6"/>
  <c r="G326" i="6"/>
  <c r="K325" i="6"/>
  <c r="L325" i="6" s="1"/>
  <c r="I325" i="6"/>
  <c r="J325" i="6"/>
  <c r="Q328" i="6"/>
  <c r="R329" i="6"/>
  <c r="T327" i="6"/>
  <c r="S327" i="6"/>
  <c r="X327" i="6" s="1"/>
  <c r="U327" i="6"/>
  <c r="V327" i="6"/>
  <c r="W327" i="6"/>
  <c r="Y327" i="6" s="1"/>
  <c r="O324" i="6" l="1"/>
  <c r="M325" i="6"/>
  <c r="N325" i="6" s="1"/>
  <c r="N324" i="6"/>
  <c r="I326" i="6"/>
  <c r="J326" i="6"/>
  <c r="K326" i="6"/>
  <c r="L326" i="6" s="1"/>
  <c r="G327" i="6"/>
  <c r="H328" i="6"/>
  <c r="Q329" i="6"/>
  <c r="R330" i="6"/>
  <c r="V328" i="6"/>
  <c r="W328" i="6"/>
  <c r="Y328" i="6" s="1"/>
  <c r="S328" i="6"/>
  <c r="X328" i="6" s="1"/>
  <c r="T328" i="6"/>
  <c r="U328" i="6"/>
  <c r="M326" i="6" l="1"/>
  <c r="N326" i="6" s="1"/>
  <c r="O325" i="6"/>
  <c r="I327" i="6"/>
  <c r="J327" i="6"/>
  <c r="K327" i="6"/>
  <c r="L327" i="6"/>
  <c r="G328" i="6"/>
  <c r="H329" i="6"/>
  <c r="T329" i="6"/>
  <c r="U329" i="6"/>
  <c r="V329" i="6"/>
  <c r="S329" i="6"/>
  <c r="X329" i="6" s="1"/>
  <c r="W329" i="6"/>
  <c r="Y329" i="6" s="1"/>
  <c r="R331" i="6"/>
  <c r="Q330" i="6"/>
  <c r="O326" i="6" l="1"/>
  <c r="M327" i="6"/>
  <c r="N327" i="6"/>
  <c r="G329" i="6"/>
  <c r="H330" i="6"/>
  <c r="J328" i="6"/>
  <c r="I328" i="6"/>
  <c r="K328" i="6"/>
  <c r="R332" i="6"/>
  <c r="Q331" i="6"/>
  <c r="U330" i="6"/>
  <c r="V330" i="6"/>
  <c r="W330" i="6"/>
  <c r="Y330" i="6" s="1"/>
  <c r="S330" i="6"/>
  <c r="X330" i="6" s="1"/>
  <c r="T330" i="6"/>
  <c r="O327" i="6" l="1"/>
  <c r="L328" i="6"/>
  <c r="M328" i="6" s="1"/>
  <c r="G330" i="6"/>
  <c r="H331" i="6"/>
  <c r="I329" i="6"/>
  <c r="J329" i="6"/>
  <c r="K329" i="6"/>
  <c r="L329" i="6"/>
  <c r="U331" i="6"/>
  <c r="V331" i="6"/>
  <c r="T331" i="6"/>
  <c r="W331" i="6"/>
  <c r="Y331" i="6" s="1"/>
  <c r="S331" i="6"/>
  <c r="X331" i="6" s="1"/>
  <c r="Q332" i="6"/>
  <c r="R333" i="6"/>
  <c r="O328" i="6" l="1"/>
  <c r="N328" i="6"/>
  <c r="M329" i="6"/>
  <c r="N329" i="6" s="1"/>
  <c r="G331" i="6"/>
  <c r="H332" i="6"/>
  <c r="K330" i="6"/>
  <c r="I330" i="6"/>
  <c r="J330" i="6"/>
  <c r="U332" i="6"/>
  <c r="T332" i="6"/>
  <c r="V332" i="6"/>
  <c r="W332" i="6"/>
  <c r="Y332" i="6" s="1"/>
  <c r="S332" i="6"/>
  <c r="X332" i="6" s="1"/>
  <c r="Q333" i="6"/>
  <c r="R334" i="6"/>
  <c r="M330" i="6" l="1"/>
  <c r="O329" i="6"/>
  <c r="L330" i="6"/>
  <c r="G332" i="6"/>
  <c r="H333" i="6"/>
  <c r="I331" i="6"/>
  <c r="J331" i="6"/>
  <c r="K331" i="6"/>
  <c r="V333" i="6"/>
  <c r="S333" i="6"/>
  <c r="X333" i="6" s="1"/>
  <c r="T333" i="6"/>
  <c r="U333" i="6"/>
  <c r="W333" i="6"/>
  <c r="Y333" i="6" s="1"/>
  <c r="R335" i="6"/>
  <c r="Q334" i="6"/>
  <c r="M331" i="6" l="1"/>
  <c r="N331" i="6"/>
  <c r="N330" i="6"/>
  <c r="O330" i="6"/>
  <c r="L331" i="6"/>
  <c r="H334" i="6"/>
  <c r="G333" i="6"/>
  <c r="J332" i="6"/>
  <c r="K332" i="6"/>
  <c r="I332" i="6"/>
  <c r="Q335" i="6"/>
  <c r="R336" i="6"/>
  <c r="W334" i="6"/>
  <c r="Y334" i="6" s="1"/>
  <c r="V334" i="6"/>
  <c r="S334" i="6"/>
  <c r="X334" i="6" s="1"/>
  <c r="U334" i="6"/>
  <c r="T334" i="6"/>
  <c r="O331" i="6" l="1"/>
  <c r="L332" i="6"/>
  <c r="M332" i="6" s="1"/>
  <c r="I333" i="6"/>
  <c r="J333" i="6"/>
  <c r="K333" i="6"/>
  <c r="H335" i="6"/>
  <c r="G334" i="6"/>
  <c r="R337" i="6"/>
  <c r="Q336" i="6"/>
  <c r="T335" i="6"/>
  <c r="U335" i="6"/>
  <c r="V335" i="6"/>
  <c r="W335" i="6"/>
  <c r="Y335" i="6" s="1"/>
  <c r="S335" i="6"/>
  <c r="X335" i="6" s="1"/>
  <c r="O332" i="6" l="1"/>
  <c r="N332" i="6"/>
  <c r="L333" i="6"/>
  <c r="M333" i="6" s="1"/>
  <c r="G335" i="6"/>
  <c r="H336" i="6"/>
  <c r="K334" i="6"/>
  <c r="J334" i="6"/>
  <c r="I334" i="6"/>
  <c r="S336" i="6"/>
  <c r="X336" i="6" s="1"/>
  <c r="T336" i="6"/>
  <c r="U336" i="6"/>
  <c r="V336" i="6"/>
  <c r="W336" i="6"/>
  <c r="Y336" i="6" s="1"/>
  <c r="Q337" i="6"/>
  <c r="R338" i="6"/>
  <c r="O333" i="6" l="1"/>
  <c r="N333" i="6"/>
  <c r="L334" i="6"/>
  <c r="M334" i="6" s="1"/>
  <c r="H337" i="6"/>
  <c r="G336" i="6"/>
  <c r="L335" i="6"/>
  <c r="J335" i="6"/>
  <c r="K335" i="6"/>
  <c r="I335" i="6"/>
  <c r="V337" i="6"/>
  <c r="T337" i="6"/>
  <c r="U337" i="6"/>
  <c r="W337" i="6"/>
  <c r="Y337" i="6" s="1"/>
  <c r="S337" i="6"/>
  <c r="X337" i="6" s="1"/>
  <c r="Q338" i="6"/>
  <c r="R339" i="6"/>
  <c r="O334" i="6" l="1"/>
  <c r="N334" i="6"/>
  <c r="M335" i="6"/>
  <c r="N335" i="6" s="1"/>
  <c r="K336" i="6"/>
  <c r="I336" i="6"/>
  <c r="J336" i="6"/>
  <c r="H338" i="6"/>
  <c r="G337" i="6"/>
  <c r="T338" i="6"/>
  <c r="W338" i="6"/>
  <c r="Y338" i="6" s="1"/>
  <c r="U338" i="6"/>
  <c r="V338" i="6"/>
  <c r="S338" i="6"/>
  <c r="X338" i="6" s="1"/>
  <c r="Q339" i="6"/>
  <c r="R340" i="6"/>
  <c r="L336" i="6" l="1"/>
  <c r="M336" i="6" s="1"/>
  <c r="O335" i="6"/>
  <c r="H339" i="6"/>
  <c r="G338" i="6"/>
  <c r="J337" i="6"/>
  <c r="I337" i="6"/>
  <c r="K337" i="6"/>
  <c r="S339" i="6"/>
  <c r="X339" i="6" s="1"/>
  <c r="V339" i="6"/>
  <c r="W339" i="6"/>
  <c r="Y339" i="6" s="1"/>
  <c r="U339" i="6"/>
  <c r="T339" i="6"/>
  <c r="Q340" i="6"/>
  <c r="R341" i="6"/>
  <c r="M337" i="6" l="1"/>
  <c r="N337" i="6" s="1"/>
  <c r="O336" i="6"/>
  <c r="N336" i="6"/>
  <c r="L337" i="6"/>
  <c r="K338" i="6"/>
  <c r="I338" i="6"/>
  <c r="L338" i="6"/>
  <c r="J338" i="6"/>
  <c r="G339" i="6"/>
  <c r="H340" i="6"/>
  <c r="W340" i="6"/>
  <c r="Y340" i="6" s="1"/>
  <c r="U340" i="6"/>
  <c r="T340" i="6"/>
  <c r="S340" i="6"/>
  <c r="X340" i="6" s="1"/>
  <c r="V340" i="6"/>
  <c r="R342" i="6"/>
  <c r="Q341" i="6"/>
  <c r="O337" i="6" l="1"/>
  <c r="M338" i="6"/>
  <c r="I339" i="6"/>
  <c r="J339" i="6"/>
  <c r="L339" i="6" s="1"/>
  <c r="K339" i="6"/>
  <c r="G340" i="6"/>
  <c r="H341" i="6"/>
  <c r="Q342" i="6"/>
  <c r="R343" i="6"/>
  <c r="V341" i="6"/>
  <c r="U341" i="6"/>
  <c r="W341" i="6"/>
  <c r="Y341" i="6" s="1"/>
  <c r="S341" i="6"/>
  <c r="X341" i="6" s="1"/>
  <c r="T341" i="6"/>
  <c r="O338" i="6" l="1"/>
  <c r="M339" i="6"/>
  <c r="N339" i="6" s="1"/>
  <c r="N338" i="6"/>
  <c r="I340" i="6"/>
  <c r="J340" i="6"/>
  <c r="L340" i="6" s="1"/>
  <c r="K340" i="6"/>
  <c r="H342" i="6"/>
  <c r="G341" i="6"/>
  <c r="Q343" i="6"/>
  <c r="R344" i="6"/>
  <c r="U342" i="6"/>
  <c r="W342" i="6"/>
  <c r="Y342" i="6" s="1"/>
  <c r="V342" i="6"/>
  <c r="S342" i="6"/>
  <c r="X342" i="6" s="1"/>
  <c r="T342" i="6"/>
  <c r="M340" i="6" l="1"/>
  <c r="N340" i="6" s="1"/>
  <c r="O339" i="6"/>
  <c r="K341" i="6"/>
  <c r="J341" i="6"/>
  <c r="I341" i="6"/>
  <c r="L341" i="6" s="1"/>
  <c r="G342" i="6"/>
  <c r="H343" i="6"/>
  <c r="R345" i="6"/>
  <c r="Q344" i="6"/>
  <c r="U343" i="6"/>
  <c r="T343" i="6"/>
  <c r="V343" i="6"/>
  <c r="W343" i="6"/>
  <c r="Y343" i="6" s="1"/>
  <c r="S343" i="6"/>
  <c r="X343" i="6" s="1"/>
  <c r="O340" i="6" l="1"/>
  <c r="M341" i="6"/>
  <c r="N341" i="6"/>
  <c r="G343" i="6"/>
  <c r="H344" i="6"/>
  <c r="J342" i="6"/>
  <c r="I342" i="6"/>
  <c r="K342" i="6"/>
  <c r="L342" i="6" s="1"/>
  <c r="T344" i="6"/>
  <c r="V344" i="6"/>
  <c r="U344" i="6"/>
  <c r="S344" i="6"/>
  <c r="X344" i="6" s="1"/>
  <c r="W344" i="6"/>
  <c r="Y344" i="6" s="1"/>
  <c r="R346" i="6"/>
  <c r="Q345" i="6"/>
  <c r="O341" i="6" l="1"/>
  <c r="M342" i="6"/>
  <c r="N342" i="6"/>
  <c r="G344" i="6"/>
  <c r="H345" i="6"/>
  <c r="J343" i="6"/>
  <c r="K343" i="6"/>
  <c r="I343" i="6"/>
  <c r="L343" i="6" s="1"/>
  <c r="Q346" i="6"/>
  <c r="R347" i="6"/>
  <c r="U345" i="6"/>
  <c r="T345" i="6"/>
  <c r="W345" i="6"/>
  <c r="Y345" i="6" s="1"/>
  <c r="S345" i="6"/>
  <c r="X345" i="6" s="1"/>
  <c r="V345" i="6"/>
  <c r="O342" i="6" l="1"/>
  <c r="M343" i="6"/>
  <c r="N343" i="6"/>
  <c r="H346" i="6"/>
  <c r="G345" i="6"/>
  <c r="K344" i="6"/>
  <c r="I344" i="6"/>
  <c r="J344" i="6"/>
  <c r="R348" i="6"/>
  <c r="Q347" i="6"/>
  <c r="U346" i="6"/>
  <c r="T346" i="6"/>
  <c r="W346" i="6"/>
  <c r="Y346" i="6" s="1"/>
  <c r="S346" i="6"/>
  <c r="X346" i="6" s="1"/>
  <c r="V346" i="6"/>
  <c r="O343" i="6" l="1"/>
  <c r="M344" i="6"/>
  <c r="N344" i="6"/>
  <c r="L344" i="6"/>
  <c r="K345" i="6"/>
  <c r="I345" i="6"/>
  <c r="J345" i="6"/>
  <c r="H347" i="6"/>
  <c r="G346" i="6"/>
  <c r="T347" i="6"/>
  <c r="V347" i="6"/>
  <c r="W347" i="6"/>
  <c r="Y347" i="6" s="1"/>
  <c r="U347" i="6"/>
  <c r="S347" i="6"/>
  <c r="X347" i="6" s="1"/>
  <c r="Q348" i="6"/>
  <c r="R349" i="6"/>
  <c r="M345" i="6" l="1"/>
  <c r="N345" i="6"/>
  <c r="L345" i="6"/>
  <c r="O344" i="6"/>
  <c r="H348" i="6"/>
  <c r="G347" i="6"/>
  <c r="J346" i="6"/>
  <c r="K346" i="6"/>
  <c r="I346" i="6"/>
  <c r="V348" i="6"/>
  <c r="S348" i="6"/>
  <c r="X348" i="6" s="1"/>
  <c r="U348" i="6"/>
  <c r="T348" i="6"/>
  <c r="W348" i="6"/>
  <c r="Y348" i="6" s="1"/>
  <c r="Q349" i="6"/>
  <c r="R350" i="6"/>
  <c r="O345" i="6" l="1"/>
  <c r="M346" i="6"/>
  <c r="N346" i="6"/>
  <c r="L346" i="6"/>
  <c r="J347" i="6"/>
  <c r="I347" i="6"/>
  <c r="K347" i="6"/>
  <c r="L347" i="6"/>
  <c r="G348" i="6"/>
  <c r="H349" i="6"/>
  <c r="R351" i="6"/>
  <c r="Q350" i="6"/>
  <c r="W349" i="6"/>
  <c r="Y349" i="6" s="1"/>
  <c r="S349" i="6"/>
  <c r="X349" i="6" s="1"/>
  <c r="T349" i="6"/>
  <c r="U349" i="6"/>
  <c r="V349" i="6"/>
  <c r="O346" i="6" l="1"/>
  <c r="M347" i="6"/>
  <c r="N347" i="6"/>
  <c r="I348" i="6"/>
  <c r="J348" i="6"/>
  <c r="L348" i="6" s="1"/>
  <c r="K348" i="6"/>
  <c r="G349" i="6"/>
  <c r="H350" i="6"/>
  <c r="Q351" i="6"/>
  <c r="R352" i="6"/>
  <c r="V350" i="6"/>
  <c r="W350" i="6"/>
  <c r="Y350" i="6" s="1"/>
  <c r="T350" i="6"/>
  <c r="U350" i="6"/>
  <c r="S350" i="6"/>
  <c r="X350" i="6" s="1"/>
  <c r="O347" i="6" l="1"/>
  <c r="M348" i="6"/>
  <c r="N348" i="6" s="1"/>
  <c r="I349" i="6"/>
  <c r="K349" i="6"/>
  <c r="J349" i="6"/>
  <c r="H351" i="6"/>
  <c r="G350" i="6"/>
  <c r="Q352" i="6"/>
  <c r="R353" i="6"/>
  <c r="T351" i="6"/>
  <c r="V351" i="6"/>
  <c r="U351" i="6"/>
  <c r="W351" i="6"/>
  <c r="Y351" i="6" s="1"/>
  <c r="S351" i="6"/>
  <c r="X351" i="6" s="1"/>
  <c r="O348" i="6" l="1"/>
  <c r="M349" i="6"/>
  <c r="N349" i="6" s="1"/>
  <c r="L349" i="6"/>
  <c r="H352" i="6"/>
  <c r="G351" i="6"/>
  <c r="I350" i="6"/>
  <c r="L350" i="6" s="1"/>
  <c r="J350" i="6"/>
  <c r="K350" i="6"/>
  <c r="U352" i="6"/>
  <c r="V352" i="6"/>
  <c r="S352" i="6"/>
  <c r="X352" i="6" s="1"/>
  <c r="W352" i="6"/>
  <c r="Y352" i="6" s="1"/>
  <c r="T352" i="6"/>
  <c r="Q353" i="6"/>
  <c r="R354" i="6"/>
  <c r="O349" i="6" l="1"/>
  <c r="M350" i="6"/>
  <c r="N350" i="6"/>
  <c r="J351" i="6"/>
  <c r="K351" i="6"/>
  <c r="L351" i="6"/>
  <c r="I351" i="6"/>
  <c r="H353" i="6"/>
  <c r="G352" i="6"/>
  <c r="S353" i="6"/>
  <c r="X353" i="6" s="1"/>
  <c r="T353" i="6"/>
  <c r="U353" i="6"/>
  <c r="V353" i="6"/>
  <c r="W353" i="6"/>
  <c r="Y353" i="6" s="1"/>
  <c r="Q354" i="6"/>
  <c r="R355" i="6"/>
  <c r="O350" i="6" l="1"/>
  <c r="M351" i="6"/>
  <c r="H354" i="6"/>
  <c r="G353" i="6"/>
  <c r="J352" i="6"/>
  <c r="K352" i="6"/>
  <c r="I352" i="6"/>
  <c r="R356" i="6"/>
  <c r="Q355" i="6"/>
  <c r="T354" i="6"/>
  <c r="S354" i="6"/>
  <c r="X354" i="6" s="1"/>
  <c r="V354" i="6"/>
  <c r="U354" i="6"/>
  <c r="W354" i="6"/>
  <c r="Y354" i="6" s="1"/>
  <c r="O351" i="6" l="1"/>
  <c r="M352" i="6"/>
  <c r="N352" i="6"/>
  <c r="N351" i="6"/>
  <c r="L352" i="6"/>
  <c r="K353" i="6"/>
  <c r="J353" i="6"/>
  <c r="I353" i="6"/>
  <c r="G354" i="6"/>
  <c r="H355" i="6"/>
  <c r="S355" i="6"/>
  <c r="X355" i="6" s="1"/>
  <c r="T355" i="6"/>
  <c r="V355" i="6"/>
  <c r="U355" i="6"/>
  <c r="W355" i="6"/>
  <c r="Y355" i="6" s="1"/>
  <c r="R357" i="6"/>
  <c r="Q356" i="6"/>
  <c r="O352" i="6" l="1"/>
  <c r="L353" i="6"/>
  <c r="M353" i="6" s="1"/>
  <c r="H356" i="6"/>
  <c r="G355" i="6"/>
  <c r="J354" i="6"/>
  <c r="L354" i="6" s="1"/>
  <c r="K354" i="6"/>
  <c r="I354" i="6"/>
  <c r="Q357" i="6"/>
  <c r="R358" i="6"/>
  <c r="S356" i="6"/>
  <c r="X356" i="6" s="1"/>
  <c r="U356" i="6"/>
  <c r="T356" i="6"/>
  <c r="W356" i="6"/>
  <c r="Y356" i="6" s="1"/>
  <c r="V356" i="6"/>
  <c r="M354" i="6" l="1"/>
  <c r="N354" i="6" s="1"/>
  <c r="N353" i="6"/>
  <c r="O353" i="6"/>
  <c r="I355" i="6"/>
  <c r="J355" i="6"/>
  <c r="L355" i="6" s="1"/>
  <c r="K355" i="6"/>
  <c r="H357" i="6"/>
  <c r="G356" i="6"/>
  <c r="Q358" i="6"/>
  <c r="R359" i="6"/>
  <c r="T357" i="6"/>
  <c r="U357" i="6"/>
  <c r="V357" i="6"/>
  <c r="W357" i="6"/>
  <c r="Y357" i="6" s="1"/>
  <c r="S357" i="6"/>
  <c r="X357" i="6" s="1"/>
  <c r="M355" i="6" l="1"/>
  <c r="M356" i="6" s="1"/>
  <c r="O354" i="6"/>
  <c r="K356" i="6"/>
  <c r="I356" i="6"/>
  <c r="L356" i="6" s="1"/>
  <c r="J356" i="6"/>
  <c r="G357" i="6"/>
  <c r="H358" i="6"/>
  <c r="T358" i="6"/>
  <c r="V358" i="6"/>
  <c r="W358" i="6"/>
  <c r="Y358" i="6" s="1"/>
  <c r="U358" i="6"/>
  <c r="S358" i="6"/>
  <c r="X358" i="6" s="1"/>
  <c r="Q359" i="6"/>
  <c r="R360" i="6"/>
  <c r="O355" i="6" l="1"/>
  <c r="O356" i="6" s="1"/>
  <c r="N356" i="6"/>
  <c r="N355" i="6"/>
  <c r="J357" i="6"/>
  <c r="I357" i="6"/>
  <c r="K357" i="6"/>
  <c r="H359" i="6"/>
  <c r="G358" i="6"/>
  <c r="Q360" i="6"/>
  <c r="R361" i="6"/>
  <c r="W359" i="6"/>
  <c r="Y359" i="6" s="1"/>
  <c r="T359" i="6"/>
  <c r="U359" i="6"/>
  <c r="V359" i="6"/>
  <c r="S359" i="6"/>
  <c r="X359" i="6" s="1"/>
  <c r="L357" i="6" l="1"/>
  <c r="M357" i="6" s="1"/>
  <c r="O357" i="6" s="1"/>
  <c r="J358" i="6"/>
  <c r="K358" i="6"/>
  <c r="I358" i="6"/>
  <c r="G359" i="6"/>
  <c r="H360" i="6"/>
  <c r="U360" i="6"/>
  <c r="V360" i="6"/>
  <c r="T360" i="6"/>
  <c r="W360" i="6"/>
  <c r="Y360" i="6" s="1"/>
  <c r="S360" i="6"/>
  <c r="X360" i="6" s="1"/>
  <c r="Q361" i="6"/>
  <c r="R362" i="6"/>
  <c r="L358" i="6" l="1"/>
  <c r="M358" i="6" s="1"/>
  <c r="N357" i="6"/>
  <c r="J359" i="6"/>
  <c r="I359" i="6"/>
  <c r="L359" i="6" s="1"/>
  <c r="K359" i="6"/>
  <c r="G360" i="6"/>
  <c r="H361" i="6"/>
  <c r="T361" i="6"/>
  <c r="U361" i="6"/>
  <c r="V361" i="6"/>
  <c r="S361" i="6"/>
  <c r="X361" i="6" s="1"/>
  <c r="W361" i="6"/>
  <c r="Y361" i="6" s="1"/>
  <c r="Q362" i="6"/>
  <c r="R363" i="6"/>
  <c r="O358" i="6" l="1"/>
  <c r="M359" i="6"/>
  <c r="N359" i="6" s="1"/>
  <c r="N358" i="6"/>
  <c r="I360" i="6"/>
  <c r="L360" i="6" s="1"/>
  <c r="K360" i="6"/>
  <c r="J360" i="6"/>
  <c r="G361" i="6"/>
  <c r="H362" i="6"/>
  <c r="S362" i="6"/>
  <c r="X362" i="6" s="1"/>
  <c r="U362" i="6"/>
  <c r="W362" i="6"/>
  <c r="Y362" i="6" s="1"/>
  <c r="T362" i="6"/>
  <c r="V362" i="6"/>
  <c r="Q363" i="6"/>
  <c r="R364" i="6"/>
  <c r="O359" i="6" l="1"/>
  <c r="M360" i="6"/>
  <c r="N360" i="6"/>
  <c r="G362" i="6"/>
  <c r="H363" i="6"/>
  <c r="I361" i="6"/>
  <c r="L361" i="6" s="1"/>
  <c r="J361" i="6"/>
  <c r="K361" i="6"/>
  <c r="V363" i="6"/>
  <c r="W363" i="6"/>
  <c r="Y363" i="6" s="1"/>
  <c r="S363" i="6"/>
  <c r="X363" i="6" s="1"/>
  <c r="T363" i="6"/>
  <c r="U363" i="6"/>
  <c r="Q364" i="6"/>
  <c r="R365" i="6"/>
  <c r="O360" i="6" l="1"/>
  <c r="M361" i="6"/>
  <c r="N361" i="6"/>
  <c r="G363" i="6"/>
  <c r="H364" i="6"/>
  <c r="K362" i="6"/>
  <c r="J362" i="6"/>
  <c r="I362" i="6"/>
  <c r="L362" i="6" s="1"/>
  <c r="R366" i="6"/>
  <c r="Q365" i="6"/>
  <c r="T364" i="6"/>
  <c r="V364" i="6"/>
  <c r="W364" i="6"/>
  <c r="Y364" i="6" s="1"/>
  <c r="S364" i="6"/>
  <c r="X364" i="6" s="1"/>
  <c r="U364" i="6"/>
  <c r="O361" i="6" l="1"/>
  <c r="M362" i="6"/>
  <c r="G364" i="6"/>
  <c r="H365" i="6"/>
  <c r="K363" i="6"/>
  <c r="J363" i="6"/>
  <c r="I363" i="6"/>
  <c r="L363" i="6" s="1"/>
  <c r="U365" i="6"/>
  <c r="W365" i="6"/>
  <c r="Y365" i="6" s="1"/>
  <c r="T365" i="6"/>
  <c r="V365" i="6"/>
  <c r="S365" i="6"/>
  <c r="X365" i="6" s="1"/>
  <c r="R367" i="6"/>
  <c r="Q366" i="6"/>
  <c r="O362" i="6" l="1"/>
  <c r="N362" i="6"/>
  <c r="M363" i="6"/>
  <c r="N363" i="6" s="1"/>
  <c r="G365" i="6"/>
  <c r="H366" i="6"/>
  <c r="I364" i="6"/>
  <c r="J364" i="6"/>
  <c r="K364" i="6"/>
  <c r="Q367" i="6"/>
  <c r="R368" i="6"/>
  <c r="W366" i="6"/>
  <c r="Y366" i="6" s="1"/>
  <c r="S366" i="6"/>
  <c r="X366" i="6" s="1"/>
  <c r="T366" i="6"/>
  <c r="V366" i="6"/>
  <c r="U366" i="6"/>
  <c r="M364" i="6" l="1"/>
  <c r="L364" i="6"/>
  <c r="O363" i="6"/>
  <c r="H367" i="6"/>
  <c r="G366" i="6"/>
  <c r="I365" i="6"/>
  <c r="J365" i="6"/>
  <c r="L365" i="6" s="1"/>
  <c r="K365" i="6"/>
  <c r="Q368" i="6"/>
  <c r="R369" i="6"/>
  <c r="U367" i="6"/>
  <c r="V367" i="6"/>
  <c r="W367" i="6"/>
  <c r="Y367" i="6" s="1"/>
  <c r="S367" i="6"/>
  <c r="X367" i="6" s="1"/>
  <c r="T367" i="6"/>
  <c r="O364" i="6" l="1"/>
  <c r="N365" i="6"/>
  <c r="N364" i="6"/>
  <c r="M365" i="6"/>
  <c r="K366" i="6"/>
  <c r="I366" i="6"/>
  <c r="J366" i="6"/>
  <c r="L366" i="6" s="1"/>
  <c r="M366" i="6" s="1"/>
  <c r="H368" i="6"/>
  <c r="G367" i="6"/>
  <c r="S368" i="6"/>
  <c r="X368" i="6" s="1"/>
  <c r="W368" i="6"/>
  <c r="Y368" i="6" s="1"/>
  <c r="T368" i="6"/>
  <c r="U368" i="6"/>
  <c r="V368" i="6"/>
  <c r="Q369" i="6"/>
  <c r="R370" i="6"/>
  <c r="O365" i="6" l="1"/>
  <c r="O366" i="6" s="1"/>
  <c r="N366" i="6"/>
  <c r="J367" i="6"/>
  <c r="K367" i="6"/>
  <c r="I367" i="6"/>
  <c r="G368" i="6"/>
  <c r="H369" i="6"/>
  <c r="T369" i="6"/>
  <c r="U369" i="6"/>
  <c r="W369" i="6"/>
  <c r="Y369" i="6" s="1"/>
  <c r="V369" i="6"/>
  <c r="S369" i="6"/>
  <c r="X369" i="6" s="1"/>
  <c r="Q370" i="6"/>
  <c r="R371" i="6"/>
  <c r="L367" i="6" l="1"/>
  <c r="M367" i="6" s="1"/>
  <c r="O367" i="6" s="1"/>
  <c r="G369" i="6"/>
  <c r="H370" i="6"/>
  <c r="J368" i="6"/>
  <c r="K368" i="6"/>
  <c r="I368" i="6"/>
  <c r="L368" i="6"/>
  <c r="V370" i="6"/>
  <c r="U370" i="6"/>
  <c r="W370" i="6"/>
  <c r="Y370" i="6" s="1"/>
  <c r="S370" i="6"/>
  <c r="X370" i="6" s="1"/>
  <c r="T370" i="6"/>
  <c r="Q371" i="6"/>
  <c r="R372" i="6"/>
  <c r="N367" i="6" l="1"/>
  <c r="M368" i="6"/>
  <c r="N368" i="6" s="1"/>
  <c r="H371" i="6"/>
  <c r="G370" i="6"/>
  <c r="I369" i="6"/>
  <c r="J369" i="6"/>
  <c r="K369" i="6"/>
  <c r="W371" i="6"/>
  <c r="Y371" i="6" s="1"/>
  <c r="S371" i="6"/>
  <c r="X371" i="6" s="1"/>
  <c r="V371" i="6"/>
  <c r="T371" i="6"/>
  <c r="U371" i="6"/>
  <c r="Q372" i="6"/>
  <c r="R373" i="6"/>
  <c r="L369" i="6" l="1"/>
  <c r="M369" i="6" s="1"/>
  <c r="O368" i="6"/>
  <c r="J370" i="6"/>
  <c r="I370" i="6"/>
  <c r="L370" i="6" s="1"/>
  <c r="K370" i="6"/>
  <c r="G371" i="6"/>
  <c r="H372" i="6"/>
  <c r="U372" i="6"/>
  <c r="V372" i="6"/>
  <c r="W372" i="6"/>
  <c r="Y372" i="6" s="1"/>
  <c r="S372" i="6"/>
  <c r="X372" i="6" s="1"/>
  <c r="T372" i="6"/>
  <c r="Q373" i="6"/>
  <c r="R374" i="6"/>
  <c r="O369" i="6" l="1"/>
  <c r="N369" i="6"/>
  <c r="M370" i="6"/>
  <c r="N370" i="6"/>
  <c r="I371" i="6"/>
  <c r="K371" i="6"/>
  <c r="J371" i="6"/>
  <c r="H373" i="6"/>
  <c r="G372" i="6"/>
  <c r="V373" i="6"/>
  <c r="W373" i="6"/>
  <c r="Y373" i="6" s="1"/>
  <c r="S373" i="6"/>
  <c r="X373" i="6" s="1"/>
  <c r="T373" i="6"/>
  <c r="U373" i="6"/>
  <c r="Q374" i="6"/>
  <c r="R375" i="6"/>
  <c r="O370" i="6" l="1"/>
  <c r="L371" i="6"/>
  <c r="M371" i="6" s="1"/>
  <c r="H374" i="6"/>
  <c r="G373" i="6"/>
  <c r="J372" i="6"/>
  <c r="K372" i="6"/>
  <c r="I372" i="6"/>
  <c r="T374" i="6"/>
  <c r="U374" i="6"/>
  <c r="S374" i="6"/>
  <c r="X374" i="6" s="1"/>
  <c r="V374" i="6"/>
  <c r="W374" i="6"/>
  <c r="Y374" i="6" s="1"/>
  <c r="Q375" i="6"/>
  <c r="R376" i="6"/>
  <c r="O371" i="6" l="1"/>
  <c r="L372" i="6"/>
  <c r="M372" i="6" s="1"/>
  <c r="N371" i="6"/>
  <c r="I373" i="6"/>
  <c r="J373" i="6"/>
  <c r="K373" i="6"/>
  <c r="L373" i="6" s="1"/>
  <c r="H375" i="6"/>
  <c r="G374" i="6"/>
  <c r="W375" i="6"/>
  <c r="Y375" i="6" s="1"/>
  <c r="S375" i="6"/>
  <c r="X375" i="6" s="1"/>
  <c r="U375" i="6"/>
  <c r="V375" i="6"/>
  <c r="T375" i="6"/>
  <c r="Q376" i="6"/>
  <c r="R377" i="6"/>
  <c r="O372" i="6" l="1"/>
  <c r="M373" i="6"/>
  <c r="N372" i="6"/>
  <c r="H376" i="6"/>
  <c r="G375" i="6"/>
  <c r="J374" i="6"/>
  <c r="K374" i="6"/>
  <c r="I374" i="6"/>
  <c r="Q377" i="6"/>
  <c r="R378" i="6"/>
  <c r="W376" i="6"/>
  <c r="Y376" i="6" s="1"/>
  <c r="T376" i="6"/>
  <c r="U376" i="6"/>
  <c r="V376" i="6"/>
  <c r="S376" i="6"/>
  <c r="X376" i="6" s="1"/>
  <c r="O373" i="6" l="1"/>
  <c r="M374" i="6"/>
  <c r="N374" i="6"/>
  <c r="L374" i="6"/>
  <c r="N373" i="6"/>
  <c r="J375" i="6"/>
  <c r="K375" i="6"/>
  <c r="I375" i="6"/>
  <c r="L375" i="6" s="1"/>
  <c r="G376" i="6"/>
  <c r="H377" i="6"/>
  <c r="Q378" i="6"/>
  <c r="R379" i="6"/>
  <c r="V377" i="6"/>
  <c r="W377" i="6"/>
  <c r="Y377" i="6" s="1"/>
  <c r="S377" i="6"/>
  <c r="X377" i="6" s="1"/>
  <c r="U377" i="6"/>
  <c r="T377" i="6"/>
  <c r="O374" i="6" l="1"/>
  <c r="M375" i="6"/>
  <c r="N375" i="6"/>
  <c r="K376" i="6"/>
  <c r="I376" i="6"/>
  <c r="J376" i="6"/>
  <c r="H378" i="6"/>
  <c r="G377" i="6"/>
  <c r="W378" i="6"/>
  <c r="Y378" i="6" s="1"/>
  <c r="T378" i="6"/>
  <c r="U378" i="6"/>
  <c r="V378" i="6"/>
  <c r="S378" i="6"/>
  <c r="X378" i="6" s="1"/>
  <c r="R380" i="6"/>
  <c r="Q379" i="6"/>
  <c r="O375" i="6" l="1"/>
  <c r="M376" i="6"/>
  <c r="L376" i="6"/>
  <c r="J377" i="6"/>
  <c r="I377" i="6"/>
  <c r="K377" i="6"/>
  <c r="G378" i="6"/>
  <c r="H379" i="6"/>
  <c r="R381" i="6"/>
  <c r="Q380" i="6"/>
  <c r="W379" i="6"/>
  <c r="Y379" i="6" s="1"/>
  <c r="S379" i="6"/>
  <c r="X379" i="6" s="1"/>
  <c r="V379" i="6"/>
  <c r="U379" i="6"/>
  <c r="T379" i="6"/>
  <c r="M377" i="6" l="1"/>
  <c r="N377" i="6"/>
  <c r="N376" i="6"/>
  <c r="O376" i="6"/>
  <c r="L377" i="6"/>
  <c r="H380" i="6"/>
  <c r="G379" i="6"/>
  <c r="K378" i="6"/>
  <c r="I378" i="6"/>
  <c r="L378" i="6" s="1"/>
  <c r="J378" i="6"/>
  <c r="T380" i="6"/>
  <c r="W380" i="6"/>
  <c r="Y380" i="6" s="1"/>
  <c r="U380" i="6"/>
  <c r="V380" i="6"/>
  <c r="S380" i="6"/>
  <c r="X380" i="6" s="1"/>
  <c r="Q381" i="6"/>
  <c r="R382" i="6"/>
  <c r="M378" i="6" l="1"/>
  <c r="N378" i="6" s="1"/>
  <c r="O377" i="6"/>
  <c r="I379" i="6"/>
  <c r="K379" i="6"/>
  <c r="J379" i="6"/>
  <c r="L379" i="6" s="1"/>
  <c r="H381" i="6"/>
  <c r="G380" i="6"/>
  <c r="V381" i="6"/>
  <c r="T381" i="6"/>
  <c r="W381" i="6"/>
  <c r="Y381" i="6" s="1"/>
  <c r="S381" i="6"/>
  <c r="X381" i="6" s="1"/>
  <c r="U381" i="6"/>
  <c r="Q382" i="6"/>
  <c r="R383" i="6"/>
  <c r="O378" i="6" l="1"/>
  <c r="M379" i="6"/>
  <c r="N379" i="6"/>
  <c r="I380" i="6"/>
  <c r="L380" i="6" s="1"/>
  <c r="J380" i="6"/>
  <c r="K380" i="6"/>
  <c r="G381" i="6"/>
  <c r="H382" i="6"/>
  <c r="Q383" i="6"/>
  <c r="R384" i="6"/>
  <c r="T382" i="6"/>
  <c r="U382" i="6"/>
  <c r="W382" i="6"/>
  <c r="Y382" i="6" s="1"/>
  <c r="V382" i="6"/>
  <c r="S382" i="6"/>
  <c r="X382" i="6" s="1"/>
  <c r="O379" i="6" l="1"/>
  <c r="M380" i="6"/>
  <c r="G382" i="6"/>
  <c r="H383" i="6"/>
  <c r="K381" i="6"/>
  <c r="I381" i="6"/>
  <c r="J381" i="6"/>
  <c r="L381" i="6" s="1"/>
  <c r="M381" i="6" s="1"/>
  <c r="Q384" i="6"/>
  <c r="R385" i="6"/>
  <c r="S383" i="6"/>
  <c r="X383" i="6" s="1"/>
  <c r="T383" i="6"/>
  <c r="U383" i="6"/>
  <c r="V383" i="6"/>
  <c r="W383" i="6"/>
  <c r="Y383" i="6" s="1"/>
  <c r="O380" i="6" l="1"/>
  <c r="O381" i="6" s="1"/>
  <c r="N380" i="6"/>
  <c r="N381" i="6"/>
  <c r="G383" i="6"/>
  <c r="H384" i="6"/>
  <c r="K382" i="6"/>
  <c r="J382" i="6"/>
  <c r="I382" i="6"/>
  <c r="W384" i="6"/>
  <c r="Y384" i="6" s="1"/>
  <c r="T384" i="6"/>
  <c r="U384" i="6"/>
  <c r="V384" i="6"/>
  <c r="S384" i="6"/>
  <c r="X384" i="6" s="1"/>
  <c r="Q385" i="6"/>
  <c r="R386" i="6"/>
  <c r="L382" i="6" l="1"/>
  <c r="M382" i="6" s="1"/>
  <c r="O382" i="6" s="1"/>
  <c r="H385" i="6"/>
  <c r="G384" i="6"/>
  <c r="K383" i="6"/>
  <c r="J383" i="6"/>
  <c r="I383" i="6"/>
  <c r="U385" i="6"/>
  <c r="T385" i="6"/>
  <c r="V385" i="6"/>
  <c r="W385" i="6"/>
  <c r="Y385" i="6" s="1"/>
  <c r="S385" i="6"/>
  <c r="X385" i="6" s="1"/>
  <c r="Q386" i="6"/>
  <c r="R387" i="6"/>
  <c r="M383" i="6" l="1"/>
  <c r="O383" i="6" s="1"/>
  <c r="N383" i="6"/>
  <c r="N382" i="6"/>
  <c r="L383" i="6"/>
  <c r="I384" i="6"/>
  <c r="K384" i="6"/>
  <c r="J384" i="6"/>
  <c r="L384" i="6"/>
  <c r="G385" i="6"/>
  <c r="H386" i="6"/>
  <c r="T386" i="6"/>
  <c r="W386" i="6"/>
  <c r="Y386" i="6" s="1"/>
  <c r="U386" i="6"/>
  <c r="V386" i="6"/>
  <c r="S386" i="6"/>
  <c r="X386" i="6" s="1"/>
  <c r="R388" i="6"/>
  <c r="Q387" i="6"/>
  <c r="M384" i="6" l="1"/>
  <c r="O384" i="6" s="1"/>
  <c r="N384" i="6"/>
  <c r="G386" i="6"/>
  <c r="H387" i="6"/>
  <c r="J385" i="6"/>
  <c r="K385" i="6"/>
  <c r="I385" i="6"/>
  <c r="U387" i="6"/>
  <c r="W387" i="6"/>
  <c r="Y387" i="6" s="1"/>
  <c r="T387" i="6"/>
  <c r="V387" i="6"/>
  <c r="S387" i="6"/>
  <c r="X387" i="6" s="1"/>
  <c r="R389" i="6"/>
  <c r="Q388" i="6"/>
  <c r="L385" i="6" l="1"/>
  <c r="M385" i="6" s="1"/>
  <c r="H388" i="6"/>
  <c r="G387" i="6"/>
  <c r="I386" i="6"/>
  <c r="L386" i="6" s="1"/>
  <c r="K386" i="6"/>
  <c r="J386" i="6"/>
  <c r="Q389" i="6"/>
  <c r="R390" i="6"/>
  <c r="V388" i="6"/>
  <c r="W388" i="6"/>
  <c r="Y388" i="6" s="1"/>
  <c r="S388" i="6"/>
  <c r="X388" i="6" s="1"/>
  <c r="T388" i="6"/>
  <c r="U388" i="6"/>
  <c r="M386" i="6" l="1"/>
  <c r="N386" i="6" s="1"/>
  <c r="O385" i="6"/>
  <c r="N385" i="6"/>
  <c r="J387" i="6"/>
  <c r="K387" i="6"/>
  <c r="I387" i="6"/>
  <c r="G388" i="6"/>
  <c r="H389" i="6"/>
  <c r="U389" i="6"/>
  <c r="V389" i="6"/>
  <c r="W389" i="6"/>
  <c r="Y389" i="6" s="1"/>
  <c r="S389" i="6"/>
  <c r="X389" i="6" s="1"/>
  <c r="T389" i="6"/>
  <c r="Q390" i="6"/>
  <c r="R391" i="6"/>
  <c r="O386" i="6" l="1"/>
  <c r="M387" i="6"/>
  <c r="M388" i="6" s="1"/>
  <c r="N387" i="6"/>
  <c r="L387" i="6"/>
  <c r="K388" i="6"/>
  <c r="I388" i="6"/>
  <c r="J388" i="6"/>
  <c r="L388" i="6"/>
  <c r="H390" i="6"/>
  <c r="G389" i="6"/>
  <c r="T390" i="6"/>
  <c r="V390" i="6"/>
  <c r="U390" i="6"/>
  <c r="W390" i="6"/>
  <c r="Y390" i="6" s="1"/>
  <c r="S390" i="6"/>
  <c r="X390" i="6" s="1"/>
  <c r="Q391" i="6"/>
  <c r="R392" i="6"/>
  <c r="N388" i="6" l="1"/>
  <c r="O387" i="6"/>
  <c r="O388" i="6" s="1"/>
  <c r="J389" i="6"/>
  <c r="I389" i="6"/>
  <c r="L389" i="6"/>
  <c r="M389" i="6" s="1"/>
  <c r="K389" i="6"/>
  <c r="G390" i="6"/>
  <c r="H391" i="6"/>
  <c r="T391" i="6"/>
  <c r="U391" i="6"/>
  <c r="V391" i="6"/>
  <c r="W391" i="6"/>
  <c r="Y391" i="6" s="1"/>
  <c r="S391" i="6"/>
  <c r="X391" i="6" s="1"/>
  <c r="Q392" i="6"/>
  <c r="R393" i="6"/>
  <c r="N389" i="6" l="1"/>
  <c r="O389" i="6"/>
  <c r="H392" i="6"/>
  <c r="G391" i="6"/>
  <c r="J390" i="6"/>
  <c r="K390" i="6"/>
  <c r="I390" i="6"/>
  <c r="L390" i="6" s="1"/>
  <c r="M390" i="6" s="1"/>
  <c r="S392" i="6"/>
  <c r="X392" i="6" s="1"/>
  <c r="W392" i="6"/>
  <c r="Y392" i="6" s="1"/>
  <c r="U392" i="6"/>
  <c r="V392" i="6"/>
  <c r="T392" i="6"/>
  <c r="Q393" i="6"/>
  <c r="R394" i="6"/>
  <c r="N390" i="6" l="1"/>
  <c r="O390" i="6"/>
  <c r="I391" i="6"/>
  <c r="J391" i="6"/>
  <c r="L391" i="6" s="1"/>
  <c r="M391" i="6" s="1"/>
  <c r="K391" i="6"/>
  <c r="H393" i="6"/>
  <c r="G392" i="6"/>
  <c r="R395" i="6"/>
  <c r="Q394" i="6"/>
  <c r="T393" i="6"/>
  <c r="U393" i="6"/>
  <c r="W393" i="6"/>
  <c r="Y393" i="6" s="1"/>
  <c r="V393" i="6"/>
  <c r="S393" i="6"/>
  <c r="X393" i="6" s="1"/>
  <c r="N391" i="6" l="1"/>
  <c r="O391" i="6"/>
  <c r="I392" i="6"/>
  <c r="J392" i="6"/>
  <c r="K392" i="6"/>
  <c r="G393" i="6"/>
  <c r="H394" i="6"/>
  <c r="V394" i="6"/>
  <c r="W394" i="6"/>
  <c r="Y394" i="6" s="1"/>
  <c r="T394" i="6"/>
  <c r="S394" i="6"/>
  <c r="X394" i="6" s="1"/>
  <c r="U394" i="6"/>
  <c r="Q395" i="6"/>
  <c r="R396" i="6"/>
  <c r="L392" i="6" l="1"/>
  <c r="M392" i="6" s="1"/>
  <c r="O392" i="6" s="1"/>
  <c r="H395" i="6"/>
  <c r="G394" i="6"/>
  <c r="J393" i="6"/>
  <c r="K393" i="6"/>
  <c r="I393" i="6"/>
  <c r="L393" i="6" s="1"/>
  <c r="R397" i="6"/>
  <c r="Q396" i="6"/>
  <c r="T395" i="6"/>
  <c r="S395" i="6"/>
  <c r="X395" i="6" s="1"/>
  <c r="U395" i="6"/>
  <c r="V395" i="6"/>
  <c r="W395" i="6"/>
  <c r="Y395" i="6" s="1"/>
  <c r="N392" i="6" l="1"/>
  <c r="M393" i="6"/>
  <c r="N393" i="6" s="1"/>
  <c r="I394" i="6"/>
  <c r="J394" i="6"/>
  <c r="K394" i="6"/>
  <c r="L394" i="6" s="1"/>
  <c r="H396" i="6"/>
  <c r="G395" i="6"/>
  <c r="R398" i="6"/>
  <c r="Q397" i="6"/>
  <c r="T396" i="6"/>
  <c r="W396" i="6"/>
  <c r="Y396" i="6" s="1"/>
  <c r="S396" i="6"/>
  <c r="X396" i="6" s="1"/>
  <c r="U396" i="6"/>
  <c r="V396" i="6"/>
  <c r="M394" i="6" l="1"/>
  <c r="N394" i="6" s="1"/>
  <c r="O393" i="6"/>
  <c r="G396" i="6"/>
  <c r="H397" i="6"/>
  <c r="J395" i="6"/>
  <c r="L395" i="6" s="1"/>
  <c r="K395" i="6"/>
  <c r="I395" i="6"/>
  <c r="W397" i="6"/>
  <c r="Y397" i="6" s="1"/>
  <c r="T397" i="6"/>
  <c r="U397" i="6"/>
  <c r="V397" i="6"/>
  <c r="S397" i="6"/>
  <c r="X397" i="6" s="1"/>
  <c r="Q398" i="6"/>
  <c r="R399" i="6"/>
  <c r="O394" i="6" l="1"/>
  <c r="M395" i="6"/>
  <c r="N395" i="6"/>
  <c r="H398" i="6"/>
  <c r="G397" i="6"/>
  <c r="J396" i="6"/>
  <c r="K396" i="6"/>
  <c r="I396" i="6"/>
  <c r="L396" i="6"/>
  <c r="T398" i="6"/>
  <c r="V398" i="6"/>
  <c r="S398" i="6"/>
  <c r="X398" i="6" s="1"/>
  <c r="U398" i="6"/>
  <c r="W398" i="6"/>
  <c r="Y398" i="6" s="1"/>
  <c r="Q399" i="6"/>
  <c r="R400" i="6"/>
  <c r="O395" i="6" l="1"/>
  <c r="M396" i="6"/>
  <c r="N396" i="6"/>
  <c r="I397" i="6"/>
  <c r="J397" i="6"/>
  <c r="L397" i="6" s="1"/>
  <c r="K397" i="6"/>
  <c r="H399" i="6"/>
  <c r="G398" i="6"/>
  <c r="R401" i="6"/>
  <c r="Q400" i="6"/>
  <c r="U399" i="6"/>
  <c r="V399" i="6"/>
  <c r="S399" i="6"/>
  <c r="X399" i="6" s="1"/>
  <c r="T399" i="6"/>
  <c r="W399" i="6"/>
  <c r="Y399" i="6" s="1"/>
  <c r="O396" i="6" l="1"/>
  <c r="M397" i="6"/>
  <c r="G399" i="6"/>
  <c r="H400" i="6"/>
  <c r="I398" i="6"/>
  <c r="K398" i="6"/>
  <c r="J398" i="6"/>
  <c r="L398" i="6" s="1"/>
  <c r="T400" i="6"/>
  <c r="U400" i="6"/>
  <c r="V400" i="6"/>
  <c r="W400" i="6"/>
  <c r="Y400" i="6" s="1"/>
  <c r="S400" i="6"/>
  <c r="X400" i="6" s="1"/>
  <c r="R402" i="6"/>
  <c r="Q401" i="6"/>
  <c r="O397" i="6" l="1"/>
  <c r="N397" i="6"/>
  <c r="M398" i="6"/>
  <c r="N398" i="6"/>
  <c r="G400" i="6"/>
  <c r="H401" i="6"/>
  <c r="J399" i="6"/>
  <c r="L399" i="6" s="1"/>
  <c r="M399" i="6" s="1"/>
  <c r="K399" i="6"/>
  <c r="I399" i="6"/>
  <c r="Q402" i="6"/>
  <c r="R403" i="6"/>
  <c r="S401" i="6"/>
  <c r="X401" i="6" s="1"/>
  <c r="W401" i="6"/>
  <c r="Y401" i="6" s="1"/>
  <c r="U401" i="6"/>
  <c r="T401" i="6"/>
  <c r="V401" i="6"/>
  <c r="O398" i="6" l="1"/>
  <c r="O399" i="6" s="1"/>
  <c r="N399" i="6"/>
  <c r="G401" i="6"/>
  <c r="H402" i="6"/>
  <c r="I400" i="6"/>
  <c r="K400" i="6"/>
  <c r="J400" i="6"/>
  <c r="L400" i="6" s="1"/>
  <c r="M400" i="6" s="1"/>
  <c r="Q403" i="6"/>
  <c r="R404" i="6"/>
  <c r="V402" i="6"/>
  <c r="U402" i="6"/>
  <c r="T402" i="6"/>
  <c r="W402" i="6"/>
  <c r="Y402" i="6" s="1"/>
  <c r="S402" i="6"/>
  <c r="X402" i="6" s="1"/>
  <c r="N400" i="6" l="1"/>
  <c r="O400" i="6"/>
  <c r="G402" i="6"/>
  <c r="H403" i="6"/>
  <c r="I401" i="6"/>
  <c r="J401" i="6"/>
  <c r="K401" i="6"/>
  <c r="R405" i="6"/>
  <c r="Q404" i="6"/>
  <c r="V403" i="6"/>
  <c r="W403" i="6"/>
  <c r="Y403" i="6" s="1"/>
  <c r="U403" i="6"/>
  <c r="T403" i="6"/>
  <c r="S403" i="6"/>
  <c r="X403" i="6" s="1"/>
  <c r="L401" i="6" l="1"/>
  <c r="M401" i="6" s="1"/>
  <c r="O401" i="6" s="1"/>
  <c r="G403" i="6"/>
  <c r="H404" i="6"/>
  <c r="I402" i="6"/>
  <c r="J402" i="6"/>
  <c r="K402" i="6"/>
  <c r="S404" i="6"/>
  <c r="X404" i="6" s="1"/>
  <c r="U404" i="6"/>
  <c r="V404" i="6"/>
  <c r="W404" i="6"/>
  <c r="Y404" i="6" s="1"/>
  <c r="T404" i="6"/>
  <c r="R406" i="6"/>
  <c r="Q405" i="6"/>
  <c r="N401" i="6" l="1"/>
  <c r="N402" i="6"/>
  <c r="L402" i="6"/>
  <c r="M402" i="6"/>
  <c r="O402" i="6" s="1"/>
  <c r="G404" i="6"/>
  <c r="H405" i="6"/>
  <c r="I403" i="6"/>
  <c r="L403" i="6"/>
  <c r="M403" i="6"/>
  <c r="K403" i="6"/>
  <c r="J403" i="6"/>
  <c r="Q406" i="6"/>
  <c r="R407" i="6"/>
  <c r="S405" i="6"/>
  <c r="X405" i="6" s="1"/>
  <c r="U405" i="6"/>
  <c r="T405" i="6"/>
  <c r="V405" i="6"/>
  <c r="W405" i="6"/>
  <c r="Y405" i="6" s="1"/>
  <c r="N403" i="6" l="1"/>
  <c r="O403" i="6"/>
  <c r="H406" i="6"/>
  <c r="G405" i="6"/>
  <c r="J404" i="6"/>
  <c r="K404" i="6"/>
  <c r="I404" i="6"/>
  <c r="Q407" i="6"/>
  <c r="R408" i="6"/>
  <c r="T406" i="6"/>
  <c r="U406" i="6"/>
  <c r="V406" i="6"/>
  <c r="W406" i="6"/>
  <c r="Y406" i="6" s="1"/>
  <c r="S406" i="6"/>
  <c r="X406" i="6" s="1"/>
  <c r="L404" i="6" l="1"/>
  <c r="M404" i="6" s="1"/>
  <c r="O404" i="6" s="1"/>
  <c r="K405" i="6"/>
  <c r="J405" i="6"/>
  <c r="I405" i="6"/>
  <c r="G406" i="6"/>
  <c r="H407" i="6"/>
  <c r="Q408" i="6"/>
  <c r="R409" i="6"/>
  <c r="V407" i="6"/>
  <c r="U407" i="6"/>
  <c r="W407" i="6"/>
  <c r="Y407" i="6" s="1"/>
  <c r="S407" i="6"/>
  <c r="X407" i="6" s="1"/>
  <c r="T407" i="6"/>
  <c r="N404" i="6" l="1"/>
  <c r="L405" i="6"/>
  <c r="M405" i="6" s="1"/>
  <c r="H408" i="6"/>
  <c r="G407" i="6"/>
  <c r="K406" i="6"/>
  <c r="J406" i="6"/>
  <c r="L406" i="6" s="1"/>
  <c r="I406" i="6"/>
  <c r="Q409" i="6"/>
  <c r="R410" i="6"/>
  <c r="V408" i="6"/>
  <c r="T408" i="6"/>
  <c r="W408" i="6"/>
  <c r="Y408" i="6" s="1"/>
  <c r="S408" i="6"/>
  <c r="X408" i="6" s="1"/>
  <c r="U408" i="6"/>
  <c r="M406" i="6" l="1"/>
  <c r="N406" i="6" s="1"/>
  <c r="O405" i="6"/>
  <c r="N405" i="6"/>
  <c r="J407" i="6"/>
  <c r="K407" i="6"/>
  <c r="I407" i="6"/>
  <c r="L407" i="6" s="1"/>
  <c r="H409" i="6"/>
  <c r="G408" i="6"/>
  <c r="Q410" i="6"/>
  <c r="R411" i="6"/>
  <c r="U409" i="6"/>
  <c r="V409" i="6"/>
  <c r="S409" i="6"/>
  <c r="X409" i="6" s="1"/>
  <c r="W409" i="6"/>
  <c r="Y409" i="6" s="1"/>
  <c r="T409" i="6"/>
  <c r="O406" i="6" l="1"/>
  <c r="M407" i="6"/>
  <c r="N407" i="6"/>
  <c r="J408" i="6"/>
  <c r="K408" i="6"/>
  <c r="I408" i="6"/>
  <c r="H410" i="6"/>
  <c r="G409" i="6"/>
  <c r="Q411" i="6"/>
  <c r="R412" i="6"/>
  <c r="U410" i="6"/>
  <c r="S410" i="6"/>
  <c r="X410" i="6" s="1"/>
  <c r="V410" i="6"/>
  <c r="W410" i="6"/>
  <c r="Y410" i="6" s="1"/>
  <c r="T410" i="6"/>
  <c r="O407" i="6" l="1"/>
  <c r="L408" i="6"/>
  <c r="M408" i="6" s="1"/>
  <c r="H411" i="6"/>
  <c r="G410" i="6"/>
  <c r="K409" i="6"/>
  <c r="I409" i="6"/>
  <c r="L409" i="6" s="1"/>
  <c r="J409" i="6"/>
  <c r="R413" i="6"/>
  <c r="Q412" i="6"/>
  <c r="T411" i="6"/>
  <c r="V411" i="6"/>
  <c r="W411" i="6"/>
  <c r="Y411" i="6" s="1"/>
  <c r="S411" i="6"/>
  <c r="X411" i="6" s="1"/>
  <c r="U411" i="6"/>
  <c r="M409" i="6" l="1"/>
  <c r="N409" i="6" s="1"/>
  <c r="O408" i="6"/>
  <c r="N408" i="6"/>
  <c r="J410" i="6"/>
  <c r="I410" i="6"/>
  <c r="K410" i="6"/>
  <c r="L410" i="6" s="1"/>
  <c r="H412" i="6"/>
  <c r="G411" i="6"/>
  <c r="S412" i="6"/>
  <c r="X412" i="6" s="1"/>
  <c r="T412" i="6"/>
  <c r="U412" i="6"/>
  <c r="W412" i="6"/>
  <c r="Y412" i="6" s="1"/>
  <c r="V412" i="6"/>
  <c r="Q413" i="6"/>
  <c r="R414" i="6"/>
  <c r="O409" i="6" l="1"/>
  <c r="M410" i="6"/>
  <c r="N410" i="6"/>
  <c r="H413" i="6"/>
  <c r="G412" i="6"/>
  <c r="J411" i="6"/>
  <c r="I411" i="6"/>
  <c r="K411" i="6"/>
  <c r="T413" i="6"/>
  <c r="U413" i="6"/>
  <c r="V413" i="6"/>
  <c r="W413" i="6"/>
  <c r="Y413" i="6" s="1"/>
  <c r="S413" i="6"/>
  <c r="X413" i="6" s="1"/>
  <c r="R415" i="6"/>
  <c r="Q414" i="6"/>
  <c r="O410" i="6" l="1"/>
  <c r="M411" i="6"/>
  <c r="L411" i="6"/>
  <c r="I412" i="6"/>
  <c r="J412" i="6"/>
  <c r="K412" i="6"/>
  <c r="L412" i="6"/>
  <c r="G413" i="6"/>
  <c r="H414" i="6"/>
  <c r="R416" i="6"/>
  <c r="Q415" i="6"/>
  <c r="W414" i="6"/>
  <c r="Y414" i="6" s="1"/>
  <c r="S414" i="6"/>
  <c r="X414" i="6" s="1"/>
  <c r="U414" i="6"/>
  <c r="T414" i="6"/>
  <c r="V414" i="6"/>
  <c r="O411" i="6" l="1"/>
  <c r="N411" i="6"/>
  <c r="M412" i="6"/>
  <c r="N412" i="6" s="1"/>
  <c r="J413" i="6"/>
  <c r="K413" i="6"/>
  <c r="I413" i="6"/>
  <c r="G414" i="6"/>
  <c r="H415" i="6"/>
  <c r="R417" i="6"/>
  <c r="Q416" i="6"/>
  <c r="T415" i="6"/>
  <c r="U415" i="6"/>
  <c r="W415" i="6"/>
  <c r="Y415" i="6" s="1"/>
  <c r="V415" i="6"/>
  <c r="S415" i="6"/>
  <c r="X415" i="6" s="1"/>
  <c r="M413" i="6" l="1"/>
  <c r="N413" i="6"/>
  <c r="L413" i="6"/>
  <c r="O412" i="6"/>
  <c r="H416" i="6"/>
  <c r="G415" i="6"/>
  <c r="I414" i="6"/>
  <c r="J414" i="6"/>
  <c r="K414" i="6"/>
  <c r="R418" i="6"/>
  <c r="Q417" i="6"/>
  <c r="S416" i="6"/>
  <c r="X416" i="6" s="1"/>
  <c r="T416" i="6"/>
  <c r="W416" i="6"/>
  <c r="Y416" i="6" s="1"/>
  <c r="U416" i="6"/>
  <c r="V416" i="6"/>
  <c r="O413" i="6" l="1"/>
  <c r="M414" i="6"/>
  <c r="M415" i="6" s="1"/>
  <c r="L414" i="6"/>
  <c r="I415" i="6"/>
  <c r="J415" i="6"/>
  <c r="L415" i="6" s="1"/>
  <c r="K415" i="6"/>
  <c r="G416" i="6"/>
  <c r="H417" i="6"/>
  <c r="S417" i="6"/>
  <c r="X417" i="6" s="1"/>
  <c r="T417" i="6"/>
  <c r="W417" i="6"/>
  <c r="Y417" i="6" s="1"/>
  <c r="U417" i="6"/>
  <c r="V417" i="6"/>
  <c r="Q418" i="6"/>
  <c r="R419" i="6"/>
  <c r="N414" i="6" l="1"/>
  <c r="O414" i="6"/>
  <c r="O415" i="6" s="1"/>
  <c r="N415" i="6"/>
  <c r="G417" i="6"/>
  <c r="H418" i="6"/>
  <c r="J416" i="6"/>
  <c r="I416" i="6"/>
  <c r="K416" i="6"/>
  <c r="T418" i="6"/>
  <c r="U418" i="6"/>
  <c r="W418" i="6"/>
  <c r="Y418" i="6" s="1"/>
  <c r="V418" i="6"/>
  <c r="S418" i="6"/>
  <c r="X418" i="6" s="1"/>
  <c r="Q419" i="6"/>
  <c r="R420" i="6"/>
  <c r="L416" i="6" l="1"/>
  <c r="M416" i="6" s="1"/>
  <c r="O416" i="6" s="1"/>
  <c r="H419" i="6"/>
  <c r="G418" i="6"/>
  <c r="K417" i="6"/>
  <c r="J417" i="6"/>
  <c r="I417" i="6"/>
  <c r="U419" i="6"/>
  <c r="S419" i="6"/>
  <c r="X419" i="6" s="1"/>
  <c r="V419" i="6"/>
  <c r="W419" i="6"/>
  <c r="Y419" i="6" s="1"/>
  <c r="T419" i="6"/>
  <c r="R421" i="6"/>
  <c r="Q420" i="6"/>
  <c r="N416" i="6" l="1"/>
  <c r="M417" i="6"/>
  <c r="N417" i="6" s="1"/>
  <c r="L417" i="6"/>
  <c r="K418" i="6"/>
  <c r="I418" i="6"/>
  <c r="J418" i="6"/>
  <c r="H420" i="6"/>
  <c r="G419" i="6"/>
  <c r="R422" i="6"/>
  <c r="Q421" i="6"/>
  <c r="W420" i="6"/>
  <c r="Y420" i="6" s="1"/>
  <c r="T420" i="6"/>
  <c r="S420" i="6"/>
  <c r="X420" i="6" s="1"/>
  <c r="U420" i="6"/>
  <c r="V420" i="6"/>
  <c r="M418" i="6" l="1"/>
  <c r="L418" i="6"/>
  <c r="O417" i="6"/>
  <c r="J419" i="6"/>
  <c r="K419" i="6"/>
  <c r="I419" i="6"/>
  <c r="L419" i="6" s="1"/>
  <c r="G420" i="6"/>
  <c r="H421" i="6"/>
  <c r="Q422" i="6"/>
  <c r="R423" i="6"/>
  <c r="T421" i="6"/>
  <c r="V421" i="6"/>
  <c r="U421" i="6"/>
  <c r="W421" i="6"/>
  <c r="Y421" i="6" s="1"/>
  <c r="S421" i="6"/>
  <c r="X421" i="6" s="1"/>
  <c r="O418" i="6" l="1"/>
  <c r="M419" i="6"/>
  <c r="N419" i="6" s="1"/>
  <c r="N418" i="6"/>
  <c r="H422" i="6"/>
  <c r="G421" i="6"/>
  <c r="J420" i="6"/>
  <c r="I420" i="6"/>
  <c r="K420" i="6"/>
  <c r="V422" i="6"/>
  <c r="S422" i="6"/>
  <c r="X422" i="6" s="1"/>
  <c r="T422" i="6"/>
  <c r="U422" i="6"/>
  <c r="W422" i="6"/>
  <c r="Y422" i="6" s="1"/>
  <c r="R424" i="6"/>
  <c r="Q423" i="6"/>
  <c r="O419" i="6" l="1"/>
  <c r="L420" i="6"/>
  <c r="M420" i="6" s="1"/>
  <c r="J421" i="6"/>
  <c r="K421" i="6"/>
  <c r="I421" i="6"/>
  <c r="L421" i="6"/>
  <c r="H423" i="6"/>
  <c r="G422" i="6"/>
  <c r="R425" i="6"/>
  <c r="Q424" i="6"/>
  <c r="W423" i="6"/>
  <c r="Y423" i="6" s="1"/>
  <c r="S423" i="6"/>
  <c r="X423" i="6" s="1"/>
  <c r="T423" i="6"/>
  <c r="U423" i="6"/>
  <c r="V423" i="6"/>
  <c r="M421" i="6" l="1"/>
  <c r="M422" i="6" s="1"/>
  <c r="N420" i="6"/>
  <c r="O420" i="6"/>
  <c r="H424" i="6"/>
  <c r="G423" i="6"/>
  <c r="I422" i="6"/>
  <c r="J422" i="6"/>
  <c r="L422" i="6"/>
  <c r="K422" i="6"/>
  <c r="Q425" i="6"/>
  <c r="R426" i="6"/>
  <c r="T424" i="6"/>
  <c r="U424" i="6"/>
  <c r="W424" i="6"/>
  <c r="Y424" i="6" s="1"/>
  <c r="V424" i="6"/>
  <c r="S424" i="6"/>
  <c r="X424" i="6" s="1"/>
  <c r="N422" i="6" l="1"/>
  <c r="O421" i="6"/>
  <c r="O422" i="6" s="1"/>
  <c r="N421" i="6"/>
  <c r="K423" i="6"/>
  <c r="I423" i="6"/>
  <c r="J423" i="6"/>
  <c r="H425" i="6"/>
  <c r="G424" i="6"/>
  <c r="Q426" i="6"/>
  <c r="R427" i="6"/>
  <c r="W425" i="6"/>
  <c r="Y425" i="6" s="1"/>
  <c r="S425" i="6"/>
  <c r="X425" i="6" s="1"/>
  <c r="U425" i="6"/>
  <c r="T425" i="6"/>
  <c r="V425" i="6"/>
  <c r="L423" i="6" l="1"/>
  <c r="M423" i="6" s="1"/>
  <c r="O423" i="6" s="1"/>
  <c r="G425" i="6"/>
  <c r="H426" i="6"/>
  <c r="I424" i="6"/>
  <c r="J424" i="6"/>
  <c r="K424" i="6"/>
  <c r="L424" i="6"/>
  <c r="Q427" i="6"/>
  <c r="R428" i="6"/>
  <c r="U426" i="6"/>
  <c r="V426" i="6"/>
  <c r="S426" i="6"/>
  <c r="X426" i="6" s="1"/>
  <c r="T426" i="6"/>
  <c r="W426" i="6"/>
  <c r="Y426" i="6" s="1"/>
  <c r="N423" i="6" l="1"/>
  <c r="N424" i="6"/>
  <c r="M424" i="6"/>
  <c r="O424" i="6" s="1"/>
  <c r="H427" i="6"/>
  <c r="G426" i="6"/>
  <c r="J425" i="6"/>
  <c r="I425" i="6"/>
  <c r="K425" i="6"/>
  <c r="Q428" i="6"/>
  <c r="R429" i="6"/>
  <c r="W427" i="6"/>
  <c r="Y427" i="6" s="1"/>
  <c r="T427" i="6"/>
  <c r="U427" i="6"/>
  <c r="S427" i="6"/>
  <c r="X427" i="6" s="1"/>
  <c r="V427" i="6"/>
  <c r="L425" i="6" l="1"/>
  <c r="M425" i="6" s="1"/>
  <c r="O425" i="6" s="1"/>
  <c r="K426" i="6"/>
  <c r="I426" i="6"/>
  <c r="J426" i="6"/>
  <c r="L426" i="6" s="1"/>
  <c r="H428" i="6"/>
  <c r="G427" i="6"/>
  <c r="Q429" i="6"/>
  <c r="R430" i="6"/>
  <c r="T428" i="6"/>
  <c r="U428" i="6"/>
  <c r="V428" i="6"/>
  <c r="S428" i="6"/>
  <c r="X428" i="6" s="1"/>
  <c r="W428" i="6"/>
  <c r="Y428" i="6" s="1"/>
  <c r="M426" i="6" l="1"/>
  <c r="N426" i="6" s="1"/>
  <c r="N425" i="6"/>
  <c r="I427" i="6"/>
  <c r="J427" i="6"/>
  <c r="L427" i="6" s="1"/>
  <c r="K427" i="6"/>
  <c r="H429" i="6"/>
  <c r="G428" i="6"/>
  <c r="R431" i="6"/>
  <c r="Q430" i="6"/>
  <c r="V429" i="6"/>
  <c r="S429" i="6"/>
  <c r="X429" i="6" s="1"/>
  <c r="U429" i="6"/>
  <c r="W429" i="6"/>
  <c r="Y429" i="6" s="1"/>
  <c r="T429" i="6"/>
  <c r="O426" i="6" l="1"/>
  <c r="N427" i="6"/>
  <c r="M427" i="6"/>
  <c r="J428" i="6"/>
  <c r="K428" i="6"/>
  <c r="I428" i="6"/>
  <c r="L428" i="6"/>
  <c r="M428" i="6" s="1"/>
  <c r="H430" i="6"/>
  <c r="G429" i="6"/>
  <c r="S430" i="6"/>
  <c r="X430" i="6" s="1"/>
  <c r="T430" i="6"/>
  <c r="W430" i="6"/>
  <c r="Y430" i="6" s="1"/>
  <c r="U430" i="6"/>
  <c r="V430" i="6"/>
  <c r="Q431" i="6"/>
  <c r="R432" i="6"/>
  <c r="O427" i="6" l="1"/>
  <c r="O428" i="6" s="1"/>
  <c r="N428" i="6"/>
  <c r="J429" i="6"/>
  <c r="K429" i="6"/>
  <c r="I429" i="6"/>
  <c r="L429" i="6" s="1"/>
  <c r="M429" i="6" s="1"/>
  <c r="H431" i="6"/>
  <c r="G430" i="6"/>
  <c r="V431" i="6"/>
  <c r="W431" i="6"/>
  <c r="Y431" i="6" s="1"/>
  <c r="S431" i="6"/>
  <c r="X431" i="6" s="1"/>
  <c r="T431" i="6"/>
  <c r="U431" i="6"/>
  <c r="Q432" i="6"/>
  <c r="R433" i="6"/>
  <c r="N429" i="6" l="1"/>
  <c r="O429" i="6"/>
  <c r="H432" i="6"/>
  <c r="G431" i="6"/>
  <c r="I430" i="6"/>
  <c r="J430" i="6"/>
  <c r="K430" i="6"/>
  <c r="L430" i="6"/>
  <c r="M430" i="6" s="1"/>
  <c r="W432" i="6"/>
  <c r="Y432" i="6" s="1"/>
  <c r="U432" i="6"/>
  <c r="S432" i="6"/>
  <c r="X432" i="6" s="1"/>
  <c r="V432" i="6"/>
  <c r="T432" i="6"/>
  <c r="Q433" i="6"/>
  <c r="R434" i="6"/>
  <c r="N430" i="6" l="1"/>
  <c r="O430" i="6"/>
  <c r="J431" i="6"/>
  <c r="K431" i="6"/>
  <c r="I431" i="6"/>
  <c r="G432" i="6"/>
  <c r="H433" i="6"/>
  <c r="V433" i="6"/>
  <c r="S433" i="6"/>
  <c r="X433" i="6" s="1"/>
  <c r="T433" i="6"/>
  <c r="U433" i="6"/>
  <c r="W433" i="6"/>
  <c r="Y433" i="6" s="1"/>
  <c r="Q434" i="6"/>
  <c r="R435" i="6"/>
  <c r="L431" i="6" l="1"/>
  <c r="M431" i="6" s="1"/>
  <c r="O431" i="6" s="1"/>
  <c r="K432" i="6"/>
  <c r="I432" i="6"/>
  <c r="J432" i="6"/>
  <c r="G433" i="6"/>
  <c r="H434" i="6"/>
  <c r="T434" i="6"/>
  <c r="W434" i="6"/>
  <c r="Y434" i="6" s="1"/>
  <c r="V434" i="6"/>
  <c r="U434" i="6"/>
  <c r="S434" i="6"/>
  <c r="X434" i="6" s="1"/>
  <c r="Q435" i="6"/>
  <c r="R436" i="6"/>
  <c r="N431" i="6" l="1"/>
  <c r="M432" i="6"/>
  <c r="N432" i="6" s="1"/>
  <c r="L432" i="6"/>
  <c r="H435" i="6"/>
  <c r="G434" i="6"/>
  <c r="J433" i="6"/>
  <c r="I433" i="6"/>
  <c r="K433" i="6"/>
  <c r="T435" i="6"/>
  <c r="W435" i="6"/>
  <c r="Y435" i="6" s="1"/>
  <c r="U435" i="6"/>
  <c r="V435" i="6"/>
  <c r="S435" i="6"/>
  <c r="X435" i="6" s="1"/>
  <c r="Q436" i="6"/>
  <c r="R437" i="6"/>
  <c r="N433" i="6" l="1"/>
  <c r="O432" i="6"/>
  <c r="L433" i="6"/>
  <c r="M433" i="6"/>
  <c r="K434" i="6"/>
  <c r="I434" i="6"/>
  <c r="J434" i="6"/>
  <c r="L434" i="6"/>
  <c r="M434" i="6" s="1"/>
  <c r="G435" i="6"/>
  <c r="H436" i="6"/>
  <c r="T436" i="6"/>
  <c r="W436" i="6"/>
  <c r="Y436" i="6" s="1"/>
  <c r="U436" i="6"/>
  <c r="V436" i="6"/>
  <c r="S436" i="6"/>
  <c r="X436" i="6" s="1"/>
  <c r="Q437" i="6"/>
  <c r="R438" i="6"/>
  <c r="O433" i="6" l="1"/>
  <c r="O434" i="6" s="1"/>
  <c r="N434" i="6"/>
  <c r="G436" i="6"/>
  <c r="H437" i="6"/>
  <c r="J435" i="6"/>
  <c r="K435" i="6"/>
  <c r="I435" i="6"/>
  <c r="T437" i="6"/>
  <c r="U437" i="6"/>
  <c r="W437" i="6"/>
  <c r="Y437" i="6" s="1"/>
  <c r="V437" i="6"/>
  <c r="S437" i="6"/>
  <c r="X437" i="6" s="1"/>
  <c r="Q438" i="6"/>
  <c r="R439" i="6"/>
  <c r="L435" i="6" l="1"/>
  <c r="M435" i="6" s="1"/>
  <c r="G437" i="6"/>
  <c r="H438" i="6"/>
  <c r="J436" i="6"/>
  <c r="I436" i="6"/>
  <c r="K436" i="6"/>
  <c r="Q439" i="6"/>
  <c r="R440" i="6"/>
  <c r="U438" i="6"/>
  <c r="V438" i="6"/>
  <c r="S438" i="6"/>
  <c r="X438" i="6" s="1"/>
  <c r="W438" i="6"/>
  <c r="Y438" i="6" s="1"/>
  <c r="T438" i="6"/>
  <c r="M436" i="6" l="1"/>
  <c r="N436" i="6"/>
  <c r="N435" i="6"/>
  <c r="L436" i="6"/>
  <c r="O435" i="6"/>
  <c r="H439" i="6"/>
  <c r="G438" i="6"/>
  <c r="K437" i="6"/>
  <c r="L437" i="6" s="1"/>
  <c r="I437" i="6"/>
  <c r="J437" i="6"/>
  <c r="T439" i="6"/>
  <c r="S439" i="6"/>
  <c r="X439" i="6" s="1"/>
  <c r="U439" i="6"/>
  <c r="V439" i="6"/>
  <c r="W439" i="6"/>
  <c r="Y439" i="6" s="1"/>
  <c r="R441" i="6"/>
  <c r="Q440" i="6"/>
  <c r="M437" i="6" l="1"/>
  <c r="N437" i="6" s="1"/>
  <c r="O436" i="6"/>
  <c r="I438" i="6"/>
  <c r="J438" i="6"/>
  <c r="L438" i="6" s="1"/>
  <c r="K438" i="6"/>
  <c r="G439" i="6"/>
  <c r="H440" i="6"/>
  <c r="Q441" i="6"/>
  <c r="R442" i="6"/>
  <c r="W440" i="6"/>
  <c r="Y440" i="6" s="1"/>
  <c r="S440" i="6"/>
  <c r="X440" i="6" s="1"/>
  <c r="T440" i="6"/>
  <c r="V440" i="6"/>
  <c r="U440" i="6"/>
  <c r="O437" i="6" l="1"/>
  <c r="M438" i="6"/>
  <c r="N438" i="6"/>
  <c r="K439" i="6"/>
  <c r="J439" i="6"/>
  <c r="I439" i="6"/>
  <c r="G440" i="6"/>
  <c r="H441" i="6"/>
  <c r="Q442" i="6"/>
  <c r="R443" i="6"/>
  <c r="S441" i="6"/>
  <c r="X441" i="6" s="1"/>
  <c r="T441" i="6"/>
  <c r="V441" i="6"/>
  <c r="U441" i="6"/>
  <c r="W441" i="6"/>
  <c r="Y441" i="6" s="1"/>
  <c r="O438" i="6" l="1"/>
  <c r="L439" i="6"/>
  <c r="M439" i="6" s="1"/>
  <c r="I440" i="6"/>
  <c r="J440" i="6"/>
  <c r="K440" i="6"/>
  <c r="L440" i="6" s="1"/>
  <c r="G441" i="6"/>
  <c r="H442" i="6"/>
  <c r="T442" i="6"/>
  <c r="U442" i="6"/>
  <c r="W442" i="6"/>
  <c r="Y442" i="6" s="1"/>
  <c r="V442" i="6"/>
  <c r="S442" i="6"/>
  <c r="X442" i="6" s="1"/>
  <c r="Q443" i="6"/>
  <c r="R444" i="6"/>
  <c r="N439" i="6" l="1"/>
  <c r="O439" i="6"/>
  <c r="M440" i="6"/>
  <c r="N440" i="6"/>
  <c r="I441" i="6"/>
  <c r="K441" i="6"/>
  <c r="J441" i="6"/>
  <c r="L441" i="6"/>
  <c r="M441" i="6" s="1"/>
  <c r="H443" i="6"/>
  <c r="G442" i="6"/>
  <c r="V443" i="6"/>
  <c r="W443" i="6"/>
  <c r="Y443" i="6" s="1"/>
  <c r="S443" i="6"/>
  <c r="X443" i="6" s="1"/>
  <c r="U443" i="6"/>
  <c r="T443" i="6"/>
  <c r="R445" i="6"/>
  <c r="Q444" i="6"/>
  <c r="O440" i="6" l="1"/>
  <c r="O441" i="6" s="1"/>
  <c r="N441" i="6"/>
  <c r="H444" i="6"/>
  <c r="G443" i="6"/>
  <c r="K442" i="6"/>
  <c r="I442" i="6"/>
  <c r="J442" i="6"/>
  <c r="L442" i="6"/>
  <c r="M442" i="6" s="1"/>
  <c r="Q445" i="6"/>
  <c r="R446" i="6"/>
  <c r="T444" i="6"/>
  <c r="U444" i="6"/>
  <c r="V444" i="6"/>
  <c r="S444" i="6"/>
  <c r="X444" i="6" s="1"/>
  <c r="W444" i="6"/>
  <c r="Y444" i="6" s="1"/>
  <c r="N442" i="6" l="1"/>
  <c r="O442" i="6"/>
  <c r="K443" i="6"/>
  <c r="J443" i="6"/>
  <c r="I443" i="6"/>
  <c r="H445" i="6"/>
  <c r="G444" i="6"/>
  <c r="S445" i="6"/>
  <c r="X445" i="6" s="1"/>
  <c r="U445" i="6"/>
  <c r="T445" i="6"/>
  <c r="V445" i="6"/>
  <c r="W445" i="6"/>
  <c r="Y445" i="6" s="1"/>
  <c r="R447" i="6"/>
  <c r="Q446" i="6"/>
  <c r="L443" i="6" l="1"/>
  <c r="M443" i="6" s="1"/>
  <c r="O443" i="6" s="1"/>
  <c r="K444" i="6"/>
  <c r="J444" i="6"/>
  <c r="I444" i="6"/>
  <c r="G445" i="6"/>
  <c r="H446" i="6"/>
  <c r="Q447" i="6"/>
  <c r="R448" i="6"/>
  <c r="W446" i="6"/>
  <c r="Y446" i="6" s="1"/>
  <c r="T446" i="6"/>
  <c r="U446" i="6"/>
  <c r="V446" i="6"/>
  <c r="S446" i="6"/>
  <c r="X446" i="6" s="1"/>
  <c r="N443" i="6" l="1"/>
  <c r="M444" i="6"/>
  <c r="N444" i="6" s="1"/>
  <c r="L444" i="6"/>
  <c r="H447" i="6"/>
  <c r="G446" i="6"/>
  <c r="I445" i="6"/>
  <c r="L445" i="6"/>
  <c r="K445" i="6"/>
  <c r="J445" i="6"/>
  <c r="Q448" i="6"/>
  <c r="R449" i="6"/>
  <c r="V447" i="6"/>
  <c r="S447" i="6"/>
  <c r="X447" i="6" s="1"/>
  <c r="T447" i="6"/>
  <c r="U447" i="6"/>
  <c r="W447" i="6"/>
  <c r="Y447" i="6" s="1"/>
  <c r="M445" i="6" l="1"/>
  <c r="M446" i="6" s="1"/>
  <c r="N445" i="6"/>
  <c r="O444" i="6"/>
  <c r="J446" i="6"/>
  <c r="K446" i="6"/>
  <c r="I446" i="6"/>
  <c r="L446" i="6" s="1"/>
  <c r="H448" i="6"/>
  <c r="G447" i="6"/>
  <c r="Q449" i="6"/>
  <c r="R450" i="6"/>
  <c r="U448" i="6"/>
  <c r="V448" i="6"/>
  <c r="W448" i="6"/>
  <c r="Y448" i="6" s="1"/>
  <c r="S448" i="6"/>
  <c r="X448" i="6" s="1"/>
  <c r="T448" i="6"/>
  <c r="N446" i="6" l="1"/>
  <c r="O445" i="6"/>
  <c r="O446" i="6" s="1"/>
  <c r="H449" i="6"/>
  <c r="G448" i="6"/>
  <c r="I447" i="6"/>
  <c r="K447" i="6"/>
  <c r="J447" i="6"/>
  <c r="L447" i="6"/>
  <c r="M447" i="6"/>
  <c r="Q450" i="6"/>
  <c r="R451" i="6"/>
  <c r="U449" i="6"/>
  <c r="V449" i="6"/>
  <c r="W449" i="6"/>
  <c r="Y449" i="6" s="1"/>
  <c r="S449" i="6"/>
  <c r="X449" i="6" s="1"/>
  <c r="T449" i="6"/>
  <c r="N447" i="6" l="1"/>
  <c r="O447" i="6"/>
  <c r="K448" i="6"/>
  <c r="J448" i="6"/>
  <c r="I448" i="6"/>
  <c r="G449" i="6"/>
  <c r="H450" i="6"/>
  <c r="Q451" i="6"/>
  <c r="R452" i="6"/>
  <c r="T450" i="6"/>
  <c r="V450" i="6"/>
  <c r="W450" i="6"/>
  <c r="Y450" i="6" s="1"/>
  <c r="S450" i="6"/>
  <c r="X450" i="6" s="1"/>
  <c r="U450" i="6"/>
  <c r="L448" i="6" l="1"/>
  <c r="M448" i="6" s="1"/>
  <c r="O448" i="6" s="1"/>
  <c r="G450" i="6"/>
  <c r="H451" i="6"/>
  <c r="K449" i="6"/>
  <c r="I449" i="6"/>
  <c r="J449" i="6"/>
  <c r="Q452" i="6"/>
  <c r="R453" i="6"/>
  <c r="V451" i="6"/>
  <c r="W451" i="6"/>
  <c r="Y451" i="6" s="1"/>
  <c r="S451" i="6"/>
  <c r="X451" i="6" s="1"/>
  <c r="T451" i="6"/>
  <c r="U451" i="6"/>
  <c r="N449" i="6" l="1"/>
  <c r="M449" i="6"/>
  <c r="M450" i="6" s="1"/>
  <c r="N448" i="6"/>
  <c r="L449" i="6"/>
  <c r="H452" i="6"/>
  <c r="G451" i="6"/>
  <c r="I450" i="6"/>
  <c r="J450" i="6"/>
  <c r="L450" i="6"/>
  <c r="K450" i="6"/>
  <c r="Q453" i="6"/>
  <c r="R454" i="6"/>
  <c r="U452" i="6"/>
  <c r="V452" i="6"/>
  <c r="T452" i="6"/>
  <c r="W452" i="6"/>
  <c r="Y452" i="6" s="1"/>
  <c r="S452" i="6"/>
  <c r="X452" i="6" s="1"/>
  <c r="N450" i="6" l="1"/>
  <c r="O449" i="6"/>
  <c r="O450" i="6" s="1"/>
  <c r="J451" i="6"/>
  <c r="I451" i="6"/>
  <c r="K451" i="6"/>
  <c r="H453" i="6"/>
  <c r="G452" i="6"/>
  <c r="Q454" i="6"/>
  <c r="R455" i="6"/>
  <c r="W453" i="6"/>
  <c r="Y453" i="6" s="1"/>
  <c r="T453" i="6"/>
  <c r="S453" i="6"/>
  <c r="X453" i="6" s="1"/>
  <c r="U453" i="6"/>
  <c r="V453" i="6"/>
  <c r="L451" i="6" l="1"/>
  <c r="M451" i="6" s="1"/>
  <c r="O451" i="6" s="1"/>
  <c r="G453" i="6"/>
  <c r="H454" i="6"/>
  <c r="I452" i="6"/>
  <c r="J452" i="6"/>
  <c r="K452" i="6"/>
  <c r="U454" i="6"/>
  <c r="V454" i="6"/>
  <c r="T454" i="6"/>
  <c r="W454" i="6"/>
  <c r="Y454" i="6" s="1"/>
  <c r="S454" i="6"/>
  <c r="X454" i="6" s="1"/>
  <c r="Q455" i="6"/>
  <c r="R456" i="6"/>
  <c r="M452" i="6" l="1"/>
  <c r="O452" i="6" s="1"/>
  <c r="L452" i="6"/>
  <c r="N451" i="6"/>
  <c r="H455" i="6"/>
  <c r="G454" i="6"/>
  <c r="I453" i="6"/>
  <c r="K453" i="6"/>
  <c r="L453" i="6"/>
  <c r="J453" i="6"/>
  <c r="V455" i="6"/>
  <c r="T455" i="6"/>
  <c r="W455" i="6"/>
  <c r="Y455" i="6" s="1"/>
  <c r="U455" i="6"/>
  <c r="S455" i="6"/>
  <c r="X455" i="6" s="1"/>
  <c r="R457" i="6"/>
  <c r="Q456" i="6"/>
  <c r="N452" i="6" l="1"/>
  <c r="N453" i="6"/>
  <c r="M453" i="6"/>
  <c r="O453" i="6" s="1"/>
  <c r="J454" i="6"/>
  <c r="K454" i="6"/>
  <c r="I454" i="6"/>
  <c r="L454" i="6"/>
  <c r="M454" i="6" s="1"/>
  <c r="H456" i="6"/>
  <c r="G455" i="6"/>
  <c r="R458" i="6"/>
  <c r="Q457" i="6"/>
  <c r="T456" i="6"/>
  <c r="U456" i="6"/>
  <c r="V456" i="6"/>
  <c r="S456" i="6"/>
  <c r="X456" i="6" s="1"/>
  <c r="W456" i="6"/>
  <c r="Y456" i="6" s="1"/>
  <c r="N454" i="6" l="1"/>
  <c r="O454" i="6"/>
  <c r="H457" i="6"/>
  <c r="G456" i="6"/>
  <c r="J455" i="6"/>
  <c r="K455" i="6"/>
  <c r="I455" i="6"/>
  <c r="S457" i="6"/>
  <c r="X457" i="6" s="1"/>
  <c r="T457" i="6"/>
  <c r="U457" i="6"/>
  <c r="W457" i="6"/>
  <c r="Y457" i="6" s="1"/>
  <c r="V457" i="6"/>
  <c r="Q458" i="6"/>
  <c r="R459" i="6"/>
  <c r="L455" i="6" l="1"/>
  <c r="M455" i="6" s="1"/>
  <c r="O455" i="6" s="1"/>
  <c r="I456" i="6"/>
  <c r="L456" i="6" s="1"/>
  <c r="J456" i="6"/>
  <c r="K456" i="6"/>
  <c r="G457" i="6"/>
  <c r="H458" i="6"/>
  <c r="Q459" i="6"/>
  <c r="R460" i="6"/>
  <c r="T458" i="6"/>
  <c r="V458" i="6"/>
  <c r="U458" i="6"/>
  <c r="W458" i="6"/>
  <c r="Y458" i="6" s="1"/>
  <c r="S458" i="6"/>
  <c r="X458" i="6" s="1"/>
  <c r="N455" i="6" l="1"/>
  <c r="M456" i="6"/>
  <c r="N456" i="6" s="1"/>
  <c r="G458" i="6"/>
  <c r="H459" i="6"/>
  <c r="J457" i="6"/>
  <c r="I457" i="6"/>
  <c r="K457" i="6"/>
  <c r="R461" i="6"/>
  <c r="Q460" i="6"/>
  <c r="T459" i="6"/>
  <c r="U459" i="6"/>
  <c r="S459" i="6"/>
  <c r="X459" i="6" s="1"/>
  <c r="W459" i="6"/>
  <c r="Y459" i="6" s="1"/>
  <c r="V459" i="6"/>
  <c r="M457" i="6" l="1"/>
  <c r="N457" i="6" s="1"/>
  <c r="O456" i="6"/>
  <c r="L457" i="6"/>
  <c r="H460" i="6"/>
  <c r="G459" i="6"/>
  <c r="J458" i="6"/>
  <c r="I458" i="6"/>
  <c r="L458" i="6" s="1"/>
  <c r="K458" i="6"/>
  <c r="T460" i="6"/>
  <c r="S460" i="6"/>
  <c r="X460" i="6" s="1"/>
  <c r="U460" i="6"/>
  <c r="V460" i="6"/>
  <c r="W460" i="6"/>
  <c r="Y460" i="6" s="1"/>
  <c r="R462" i="6"/>
  <c r="Q461" i="6"/>
  <c r="O457" i="6" l="1"/>
  <c r="M458" i="6"/>
  <c r="J459" i="6"/>
  <c r="K459" i="6"/>
  <c r="I459" i="6"/>
  <c r="H461" i="6"/>
  <c r="G460" i="6"/>
  <c r="R463" i="6"/>
  <c r="Q462" i="6"/>
  <c r="W461" i="6"/>
  <c r="Y461" i="6" s="1"/>
  <c r="T461" i="6"/>
  <c r="U461" i="6"/>
  <c r="S461" i="6"/>
  <c r="X461" i="6" s="1"/>
  <c r="V461" i="6"/>
  <c r="O458" i="6" l="1"/>
  <c r="N458" i="6"/>
  <c r="L459" i="6"/>
  <c r="M459" i="6" s="1"/>
  <c r="J460" i="6"/>
  <c r="K460" i="6"/>
  <c r="I460" i="6"/>
  <c r="G461" i="6"/>
  <c r="H462" i="6"/>
  <c r="Q463" i="6"/>
  <c r="R464" i="6"/>
  <c r="U462" i="6"/>
  <c r="T462" i="6"/>
  <c r="V462" i="6"/>
  <c r="W462" i="6"/>
  <c r="Y462" i="6" s="1"/>
  <c r="S462" i="6"/>
  <c r="X462" i="6" s="1"/>
  <c r="N459" i="6" l="1"/>
  <c r="O459" i="6"/>
  <c r="L460" i="6"/>
  <c r="M460" i="6" s="1"/>
  <c r="J461" i="6"/>
  <c r="I461" i="6"/>
  <c r="L461" i="6" s="1"/>
  <c r="K461" i="6"/>
  <c r="G462" i="6"/>
  <c r="H463" i="6"/>
  <c r="Q464" i="6"/>
  <c r="R465" i="6"/>
  <c r="U463" i="6"/>
  <c r="W463" i="6"/>
  <c r="Y463" i="6" s="1"/>
  <c r="V463" i="6"/>
  <c r="S463" i="6"/>
  <c r="X463" i="6" s="1"/>
  <c r="T463" i="6"/>
  <c r="O460" i="6" l="1"/>
  <c r="N460" i="6"/>
  <c r="M461" i="6"/>
  <c r="N461" i="6"/>
  <c r="H464" i="6"/>
  <c r="G463" i="6"/>
  <c r="K462" i="6"/>
  <c r="J462" i="6"/>
  <c r="L462" i="6" s="1"/>
  <c r="M462" i="6" s="1"/>
  <c r="I462" i="6"/>
  <c r="Q465" i="6"/>
  <c r="R466" i="6"/>
  <c r="U464" i="6"/>
  <c r="V464" i="6"/>
  <c r="W464" i="6"/>
  <c r="Y464" i="6" s="1"/>
  <c r="S464" i="6"/>
  <c r="X464" i="6" s="1"/>
  <c r="T464" i="6"/>
  <c r="O461" i="6" l="1"/>
  <c r="O462" i="6" s="1"/>
  <c r="N462" i="6"/>
  <c r="I463" i="6"/>
  <c r="J463" i="6"/>
  <c r="K463" i="6"/>
  <c r="L463" i="6"/>
  <c r="M463" i="6" s="1"/>
  <c r="G464" i="6"/>
  <c r="H465" i="6"/>
  <c r="T465" i="6"/>
  <c r="V465" i="6"/>
  <c r="W465" i="6"/>
  <c r="Y465" i="6" s="1"/>
  <c r="U465" i="6"/>
  <c r="S465" i="6"/>
  <c r="X465" i="6" s="1"/>
  <c r="Q466" i="6"/>
  <c r="R467" i="6"/>
  <c r="N463" i="6" l="1"/>
  <c r="O463" i="6"/>
  <c r="G465" i="6"/>
  <c r="H466" i="6"/>
  <c r="K464" i="6"/>
  <c r="I464" i="6"/>
  <c r="J464" i="6"/>
  <c r="V466" i="6"/>
  <c r="S466" i="6"/>
  <c r="X466" i="6" s="1"/>
  <c r="T466" i="6"/>
  <c r="W466" i="6"/>
  <c r="Y466" i="6" s="1"/>
  <c r="U466" i="6"/>
  <c r="Q467" i="6"/>
  <c r="R468" i="6"/>
  <c r="L464" i="6" l="1"/>
  <c r="M464" i="6" s="1"/>
  <c r="O464" i="6" s="1"/>
  <c r="H467" i="6"/>
  <c r="G466" i="6"/>
  <c r="K465" i="6"/>
  <c r="J465" i="6"/>
  <c r="I465" i="6"/>
  <c r="T467" i="6"/>
  <c r="S467" i="6"/>
  <c r="X467" i="6" s="1"/>
  <c r="W467" i="6"/>
  <c r="Y467" i="6" s="1"/>
  <c r="U467" i="6"/>
  <c r="V467" i="6"/>
  <c r="R469" i="6"/>
  <c r="Q468" i="6"/>
  <c r="N464" i="6" l="1"/>
  <c r="M465" i="6"/>
  <c r="N465" i="6" s="1"/>
  <c r="L465" i="6"/>
  <c r="J466" i="6"/>
  <c r="I466" i="6"/>
  <c r="K466" i="6"/>
  <c r="L466" i="6"/>
  <c r="G467" i="6"/>
  <c r="H468" i="6"/>
  <c r="V468" i="6"/>
  <c r="W468" i="6"/>
  <c r="Y468" i="6" s="1"/>
  <c r="T468" i="6"/>
  <c r="U468" i="6"/>
  <c r="S468" i="6"/>
  <c r="X468" i="6" s="1"/>
  <c r="Q469" i="6"/>
  <c r="R470" i="6"/>
  <c r="M466" i="6" l="1"/>
  <c r="O465" i="6"/>
  <c r="G468" i="6"/>
  <c r="H469" i="6"/>
  <c r="K467" i="6"/>
  <c r="J467" i="6"/>
  <c r="L467" i="6" s="1"/>
  <c r="I467" i="6"/>
  <c r="T469" i="6"/>
  <c r="V469" i="6"/>
  <c r="U469" i="6"/>
  <c r="W469" i="6"/>
  <c r="Y469" i="6" s="1"/>
  <c r="S469" i="6"/>
  <c r="X469" i="6" s="1"/>
  <c r="R471" i="6"/>
  <c r="Q470" i="6"/>
  <c r="O466" i="6" l="1"/>
  <c r="N466" i="6"/>
  <c r="M467" i="6"/>
  <c r="N467" i="6" s="1"/>
  <c r="G469" i="6"/>
  <c r="H470" i="6"/>
  <c r="I468" i="6"/>
  <c r="J468" i="6"/>
  <c r="K468" i="6"/>
  <c r="Q471" i="6"/>
  <c r="R472" i="6"/>
  <c r="V470" i="6"/>
  <c r="S470" i="6"/>
  <c r="X470" i="6" s="1"/>
  <c r="T470" i="6"/>
  <c r="U470" i="6"/>
  <c r="W470" i="6"/>
  <c r="Y470" i="6" s="1"/>
  <c r="L468" i="6" l="1"/>
  <c r="M468" i="6" s="1"/>
  <c r="O467" i="6"/>
  <c r="G470" i="6"/>
  <c r="H471" i="6"/>
  <c r="K469" i="6"/>
  <c r="J469" i="6"/>
  <c r="L469" i="6" s="1"/>
  <c r="I469" i="6"/>
  <c r="R473" i="6"/>
  <c r="Q472" i="6"/>
  <c r="V471" i="6"/>
  <c r="T471" i="6"/>
  <c r="W471" i="6"/>
  <c r="Y471" i="6" s="1"/>
  <c r="U471" i="6"/>
  <c r="S471" i="6"/>
  <c r="X471" i="6" s="1"/>
  <c r="M469" i="6" l="1"/>
  <c r="N469" i="6" s="1"/>
  <c r="O468" i="6"/>
  <c r="N468" i="6"/>
  <c r="H472" i="6"/>
  <c r="G471" i="6"/>
  <c r="J470" i="6"/>
  <c r="K470" i="6"/>
  <c r="I470" i="6"/>
  <c r="U472" i="6"/>
  <c r="W472" i="6"/>
  <c r="Y472" i="6" s="1"/>
  <c r="S472" i="6"/>
  <c r="X472" i="6" s="1"/>
  <c r="V472" i="6"/>
  <c r="T472" i="6"/>
  <c r="R474" i="6"/>
  <c r="Q473" i="6"/>
  <c r="O469" i="6" l="1"/>
  <c r="L470" i="6"/>
  <c r="M470" i="6" s="1"/>
  <c r="K471" i="6"/>
  <c r="I471" i="6"/>
  <c r="L471" i="6" s="1"/>
  <c r="J471" i="6"/>
  <c r="H473" i="6"/>
  <c r="G472" i="6"/>
  <c r="Q474" i="6"/>
  <c r="R475" i="6"/>
  <c r="T473" i="6"/>
  <c r="S473" i="6"/>
  <c r="X473" i="6" s="1"/>
  <c r="V473" i="6"/>
  <c r="U473" i="6"/>
  <c r="W473" i="6"/>
  <c r="Y473" i="6" s="1"/>
  <c r="O470" i="6" l="1"/>
  <c r="M471" i="6"/>
  <c r="N471" i="6" s="1"/>
  <c r="N470" i="6"/>
  <c r="G473" i="6"/>
  <c r="H474" i="6"/>
  <c r="J472" i="6"/>
  <c r="I472" i="6"/>
  <c r="K472" i="6"/>
  <c r="L472" i="6" s="1"/>
  <c r="W474" i="6"/>
  <c r="Y474" i="6" s="1"/>
  <c r="T474" i="6"/>
  <c r="U474" i="6"/>
  <c r="V474" i="6"/>
  <c r="S474" i="6"/>
  <c r="X474" i="6" s="1"/>
  <c r="Q475" i="6"/>
  <c r="R476" i="6"/>
  <c r="N472" i="6" l="1"/>
  <c r="O471" i="6"/>
  <c r="M472" i="6"/>
  <c r="G474" i="6"/>
  <c r="H475" i="6"/>
  <c r="I473" i="6"/>
  <c r="J473" i="6"/>
  <c r="L473" i="6" s="1"/>
  <c r="M473" i="6" s="1"/>
  <c r="K473" i="6"/>
  <c r="S475" i="6"/>
  <c r="X475" i="6" s="1"/>
  <c r="T475" i="6"/>
  <c r="U475" i="6"/>
  <c r="V475" i="6"/>
  <c r="W475" i="6"/>
  <c r="Y475" i="6" s="1"/>
  <c r="Q476" i="6"/>
  <c r="R477" i="6"/>
  <c r="O472" i="6" l="1"/>
  <c r="O473" i="6" s="1"/>
  <c r="N473" i="6"/>
  <c r="G475" i="6"/>
  <c r="H476" i="6"/>
  <c r="J474" i="6"/>
  <c r="I474" i="6"/>
  <c r="K474" i="6"/>
  <c r="L474" i="6" s="1"/>
  <c r="M474" i="6" s="1"/>
  <c r="W476" i="6"/>
  <c r="Y476" i="6" s="1"/>
  <c r="V476" i="6"/>
  <c r="S476" i="6"/>
  <c r="X476" i="6" s="1"/>
  <c r="T476" i="6"/>
  <c r="U476" i="6"/>
  <c r="R478" i="6"/>
  <c r="Q477" i="6"/>
  <c r="N474" i="6" l="1"/>
  <c r="O474" i="6"/>
  <c r="H477" i="6"/>
  <c r="G476" i="6"/>
  <c r="J475" i="6"/>
  <c r="I475" i="6"/>
  <c r="K475" i="6"/>
  <c r="Q478" i="6"/>
  <c r="R479" i="6"/>
  <c r="T477" i="6"/>
  <c r="U477" i="6"/>
  <c r="V477" i="6"/>
  <c r="W477" i="6"/>
  <c r="Y477" i="6" s="1"/>
  <c r="S477" i="6"/>
  <c r="X477" i="6" s="1"/>
  <c r="L475" i="6" l="1"/>
  <c r="M475" i="6" s="1"/>
  <c r="O475" i="6" s="1"/>
  <c r="K476" i="6"/>
  <c r="J476" i="6"/>
  <c r="I476" i="6"/>
  <c r="L476" i="6" s="1"/>
  <c r="H478" i="6"/>
  <c r="G477" i="6"/>
  <c r="Q479" i="6"/>
  <c r="R480" i="6"/>
  <c r="U478" i="6"/>
  <c r="V478" i="6"/>
  <c r="S478" i="6"/>
  <c r="X478" i="6" s="1"/>
  <c r="W478" i="6"/>
  <c r="Y478" i="6" s="1"/>
  <c r="T478" i="6"/>
  <c r="N476" i="6" l="1"/>
  <c r="N475" i="6"/>
  <c r="M476" i="6"/>
  <c r="O476" i="6" s="1"/>
  <c r="J477" i="6"/>
  <c r="K477" i="6"/>
  <c r="I477" i="6"/>
  <c r="L477" i="6"/>
  <c r="M477" i="6" s="1"/>
  <c r="H479" i="6"/>
  <c r="G478" i="6"/>
  <c r="Q480" i="6"/>
  <c r="R481" i="6"/>
  <c r="T479" i="6"/>
  <c r="S479" i="6"/>
  <c r="X479" i="6" s="1"/>
  <c r="W479" i="6"/>
  <c r="Y479" i="6" s="1"/>
  <c r="U479" i="6"/>
  <c r="V479" i="6"/>
  <c r="N477" i="6" l="1"/>
  <c r="O477" i="6"/>
  <c r="H480" i="6"/>
  <c r="G479" i="6"/>
  <c r="I478" i="6"/>
  <c r="K478" i="6"/>
  <c r="J478" i="6"/>
  <c r="L478" i="6" s="1"/>
  <c r="M478" i="6" s="1"/>
  <c r="Q481" i="6"/>
  <c r="R482" i="6"/>
  <c r="T480" i="6"/>
  <c r="W480" i="6"/>
  <c r="Y480" i="6" s="1"/>
  <c r="U480" i="6"/>
  <c r="S480" i="6"/>
  <c r="X480" i="6" s="1"/>
  <c r="V480" i="6"/>
  <c r="N478" i="6" l="1"/>
  <c r="O478" i="6"/>
  <c r="K479" i="6"/>
  <c r="I479" i="6"/>
  <c r="J479" i="6"/>
  <c r="L479" i="6" s="1"/>
  <c r="M479" i="6" s="1"/>
  <c r="G480" i="6"/>
  <c r="H481" i="6"/>
  <c r="Q482" i="6"/>
  <c r="R483" i="6"/>
  <c r="W481" i="6"/>
  <c r="Y481" i="6" s="1"/>
  <c r="S481" i="6"/>
  <c r="X481" i="6" s="1"/>
  <c r="V481" i="6"/>
  <c r="U481" i="6"/>
  <c r="T481" i="6"/>
  <c r="N479" i="6" l="1"/>
  <c r="O479" i="6"/>
  <c r="H482" i="6"/>
  <c r="G481" i="6"/>
  <c r="K480" i="6"/>
  <c r="I480" i="6"/>
  <c r="J480" i="6"/>
  <c r="R484" i="6"/>
  <c r="Q483" i="6"/>
  <c r="V482" i="6"/>
  <c r="T482" i="6"/>
  <c r="W482" i="6"/>
  <c r="Y482" i="6" s="1"/>
  <c r="U482" i="6"/>
  <c r="S482" i="6"/>
  <c r="X482" i="6" s="1"/>
  <c r="L480" i="6" l="1"/>
  <c r="M480" i="6" s="1"/>
  <c r="O480" i="6" s="1"/>
  <c r="K481" i="6"/>
  <c r="J481" i="6"/>
  <c r="I481" i="6"/>
  <c r="L481" i="6"/>
  <c r="G482" i="6"/>
  <c r="H483" i="6"/>
  <c r="R485" i="6"/>
  <c r="Q484" i="6"/>
  <c r="S483" i="6"/>
  <c r="X483" i="6" s="1"/>
  <c r="U483" i="6"/>
  <c r="V483" i="6"/>
  <c r="T483" i="6"/>
  <c r="W483" i="6"/>
  <c r="Y483" i="6" s="1"/>
  <c r="M481" i="6" l="1"/>
  <c r="O481" i="6" s="1"/>
  <c r="N481" i="6"/>
  <c r="N480" i="6"/>
  <c r="H484" i="6"/>
  <c r="G483" i="6"/>
  <c r="I482" i="6"/>
  <c r="L482" i="6" s="1"/>
  <c r="M482" i="6" s="1"/>
  <c r="K482" i="6"/>
  <c r="J482" i="6"/>
  <c r="Q485" i="6"/>
  <c r="R486" i="6"/>
  <c r="U484" i="6"/>
  <c r="W484" i="6"/>
  <c r="Y484" i="6" s="1"/>
  <c r="V484" i="6"/>
  <c r="T484" i="6"/>
  <c r="S484" i="6"/>
  <c r="X484" i="6" s="1"/>
  <c r="N482" i="6" l="1"/>
  <c r="O482" i="6"/>
  <c r="I483" i="6"/>
  <c r="J483" i="6"/>
  <c r="K483" i="6"/>
  <c r="L483" i="6" s="1"/>
  <c r="M483" i="6" s="1"/>
  <c r="H485" i="6"/>
  <c r="G484" i="6"/>
  <c r="R487" i="6"/>
  <c r="Q486" i="6"/>
  <c r="S485" i="6"/>
  <c r="X485" i="6" s="1"/>
  <c r="U485" i="6"/>
  <c r="V485" i="6"/>
  <c r="T485" i="6"/>
  <c r="W485" i="6"/>
  <c r="Y485" i="6" s="1"/>
  <c r="N483" i="6" l="1"/>
  <c r="O483" i="6"/>
  <c r="G485" i="6"/>
  <c r="H486" i="6"/>
  <c r="I484" i="6"/>
  <c r="K484" i="6"/>
  <c r="J484" i="6"/>
  <c r="L484" i="6" s="1"/>
  <c r="M484" i="6" s="1"/>
  <c r="Q487" i="6"/>
  <c r="R488" i="6"/>
  <c r="W486" i="6"/>
  <c r="Y486" i="6" s="1"/>
  <c r="T486" i="6"/>
  <c r="S486" i="6"/>
  <c r="X486" i="6" s="1"/>
  <c r="U486" i="6"/>
  <c r="V486" i="6"/>
  <c r="N484" i="6" l="1"/>
  <c r="O484" i="6"/>
  <c r="H487" i="6"/>
  <c r="G486" i="6"/>
  <c r="I485" i="6"/>
  <c r="K485" i="6"/>
  <c r="J485" i="6"/>
  <c r="L485" i="6" s="1"/>
  <c r="M485" i="6" s="1"/>
  <c r="R489" i="6"/>
  <c r="Q488" i="6"/>
  <c r="T487" i="6"/>
  <c r="S487" i="6"/>
  <c r="X487" i="6" s="1"/>
  <c r="W487" i="6"/>
  <c r="Y487" i="6" s="1"/>
  <c r="U487" i="6"/>
  <c r="V487" i="6"/>
  <c r="N485" i="6" l="1"/>
  <c r="O485" i="6"/>
  <c r="K486" i="6"/>
  <c r="J486" i="6"/>
  <c r="I486" i="6"/>
  <c r="G487" i="6"/>
  <c r="H488" i="6"/>
  <c r="V488" i="6"/>
  <c r="W488" i="6"/>
  <c r="Y488" i="6" s="1"/>
  <c r="T488" i="6"/>
  <c r="U488" i="6"/>
  <c r="S488" i="6"/>
  <c r="X488" i="6" s="1"/>
  <c r="R490" i="6"/>
  <c r="Q489" i="6"/>
  <c r="L486" i="6" l="1"/>
  <c r="M486" i="6" s="1"/>
  <c r="O486" i="6" s="1"/>
  <c r="G488" i="6"/>
  <c r="H489" i="6"/>
  <c r="K487" i="6"/>
  <c r="J487" i="6"/>
  <c r="I487" i="6"/>
  <c r="W489" i="6"/>
  <c r="Y489" i="6" s="1"/>
  <c r="U489" i="6"/>
  <c r="V489" i="6"/>
  <c r="T489" i="6"/>
  <c r="S489" i="6"/>
  <c r="X489" i="6" s="1"/>
  <c r="Q490" i="6"/>
  <c r="R491" i="6"/>
  <c r="N486" i="6" l="1"/>
  <c r="L487" i="6"/>
  <c r="M487" i="6" s="1"/>
  <c r="G489" i="6"/>
  <c r="H490" i="6"/>
  <c r="I488" i="6"/>
  <c r="K488" i="6"/>
  <c r="J488" i="6"/>
  <c r="Q491" i="6"/>
  <c r="R492" i="6"/>
  <c r="T490" i="6"/>
  <c r="U490" i="6"/>
  <c r="W490" i="6"/>
  <c r="Y490" i="6" s="1"/>
  <c r="V490" i="6"/>
  <c r="S490" i="6"/>
  <c r="X490" i="6" s="1"/>
  <c r="O487" i="6" l="1"/>
  <c r="M488" i="6"/>
  <c r="N488" i="6" s="1"/>
  <c r="N487" i="6"/>
  <c r="L488" i="6"/>
  <c r="H491" i="6"/>
  <c r="G490" i="6"/>
  <c r="I489" i="6"/>
  <c r="L489" i="6" s="1"/>
  <c r="J489" i="6"/>
  <c r="K489" i="6"/>
  <c r="Q492" i="6"/>
  <c r="R493" i="6"/>
  <c r="S491" i="6"/>
  <c r="X491" i="6" s="1"/>
  <c r="U491" i="6"/>
  <c r="T491" i="6"/>
  <c r="W491" i="6"/>
  <c r="Y491" i="6" s="1"/>
  <c r="V491" i="6"/>
  <c r="O488" i="6" l="1"/>
  <c r="M489" i="6"/>
  <c r="N489" i="6"/>
  <c r="K490" i="6"/>
  <c r="I490" i="6"/>
  <c r="J490" i="6"/>
  <c r="G491" i="6"/>
  <c r="H492" i="6"/>
  <c r="Q493" i="6"/>
  <c r="R494" i="6"/>
  <c r="U492" i="6"/>
  <c r="W492" i="6"/>
  <c r="Y492" i="6" s="1"/>
  <c r="T492" i="6"/>
  <c r="V492" i="6"/>
  <c r="S492" i="6"/>
  <c r="X492" i="6" s="1"/>
  <c r="O489" i="6" l="1"/>
  <c r="L490" i="6"/>
  <c r="M490" i="6" s="1"/>
  <c r="I491" i="6"/>
  <c r="J491" i="6"/>
  <c r="K491" i="6"/>
  <c r="L491" i="6"/>
  <c r="H493" i="6"/>
  <c r="G492" i="6"/>
  <c r="Q494" i="6"/>
  <c r="R495" i="6"/>
  <c r="W493" i="6"/>
  <c r="Y493" i="6" s="1"/>
  <c r="T493" i="6"/>
  <c r="S493" i="6"/>
  <c r="X493" i="6" s="1"/>
  <c r="U493" i="6"/>
  <c r="V493" i="6"/>
  <c r="N490" i="6" l="1"/>
  <c r="O490" i="6"/>
  <c r="M491" i="6"/>
  <c r="N491" i="6"/>
  <c r="K492" i="6"/>
  <c r="J492" i="6"/>
  <c r="I492" i="6"/>
  <c r="L492" i="6" s="1"/>
  <c r="M492" i="6" s="1"/>
  <c r="G493" i="6"/>
  <c r="H494" i="6"/>
  <c r="S494" i="6"/>
  <c r="X494" i="6" s="1"/>
  <c r="U494" i="6"/>
  <c r="T494" i="6"/>
  <c r="V494" i="6"/>
  <c r="W494" i="6"/>
  <c r="Y494" i="6" s="1"/>
  <c r="Q495" i="6"/>
  <c r="R496" i="6"/>
  <c r="O491" i="6" l="1"/>
  <c r="O492" i="6" s="1"/>
  <c r="N492" i="6"/>
  <c r="I493" i="6"/>
  <c r="K493" i="6"/>
  <c r="J493" i="6"/>
  <c r="G494" i="6"/>
  <c r="H495" i="6"/>
  <c r="T495" i="6"/>
  <c r="W495" i="6"/>
  <c r="Y495" i="6" s="1"/>
  <c r="U495" i="6"/>
  <c r="S495" i="6"/>
  <c r="X495" i="6" s="1"/>
  <c r="V495" i="6"/>
  <c r="Q496" i="6"/>
  <c r="R497" i="6"/>
  <c r="L493" i="6" l="1"/>
  <c r="M493" i="6" s="1"/>
  <c r="N493" i="6" s="1"/>
  <c r="I494" i="6"/>
  <c r="J494" i="6"/>
  <c r="K494" i="6"/>
  <c r="L494" i="6" s="1"/>
  <c r="H496" i="6"/>
  <c r="G495" i="6"/>
  <c r="U496" i="6"/>
  <c r="W496" i="6"/>
  <c r="Y496" i="6" s="1"/>
  <c r="S496" i="6"/>
  <c r="X496" i="6" s="1"/>
  <c r="V496" i="6"/>
  <c r="T496" i="6"/>
  <c r="R498" i="6"/>
  <c r="Q497" i="6"/>
  <c r="M494" i="6" l="1"/>
  <c r="N494" i="6"/>
  <c r="O493" i="6"/>
  <c r="H497" i="6"/>
  <c r="G496" i="6"/>
  <c r="K495" i="6"/>
  <c r="J495" i="6"/>
  <c r="L495" i="6" s="1"/>
  <c r="I495" i="6"/>
  <c r="R499" i="6"/>
  <c r="Q498" i="6"/>
  <c r="T497" i="6"/>
  <c r="W497" i="6"/>
  <c r="Y497" i="6" s="1"/>
  <c r="V497" i="6"/>
  <c r="S497" i="6"/>
  <c r="X497" i="6" s="1"/>
  <c r="U497" i="6"/>
  <c r="O494" i="6" l="1"/>
  <c r="M495" i="6"/>
  <c r="N495" i="6"/>
  <c r="I496" i="6"/>
  <c r="K496" i="6"/>
  <c r="J496" i="6"/>
  <c r="L496" i="6" s="1"/>
  <c r="G497" i="6"/>
  <c r="H498" i="6"/>
  <c r="T498" i="6"/>
  <c r="U498" i="6"/>
  <c r="S498" i="6"/>
  <c r="X498" i="6" s="1"/>
  <c r="V498" i="6"/>
  <c r="W498" i="6"/>
  <c r="Y498" i="6" s="1"/>
  <c r="R500" i="6"/>
  <c r="Q499" i="6"/>
  <c r="O495" i="6" l="1"/>
  <c r="M496" i="6"/>
  <c r="I497" i="6"/>
  <c r="K497" i="6"/>
  <c r="L497" i="6" s="1"/>
  <c r="J497" i="6"/>
  <c r="G498" i="6"/>
  <c r="H499" i="6"/>
  <c r="W499" i="6"/>
  <c r="Y499" i="6" s="1"/>
  <c r="T499" i="6"/>
  <c r="U499" i="6"/>
  <c r="V499" i="6"/>
  <c r="S499" i="6"/>
  <c r="X499" i="6" s="1"/>
  <c r="Q500" i="6"/>
  <c r="R501" i="6"/>
  <c r="O496" i="6" l="1"/>
  <c r="N496" i="6"/>
  <c r="M497" i="6"/>
  <c r="N497" i="6" s="1"/>
  <c r="I498" i="6"/>
  <c r="J498" i="6"/>
  <c r="L498" i="6" s="1"/>
  <c r="K498" i="6"/>
  <c r="G499" i="6"/>
  <c r="H500" i="6"/>
  <c r="Q501" i="6"/>
  <c r="R502" i="6"/>
  <c r="U500" i="6"/>
  <c r="V500" i="6"/>
  <c r="T500" i="6"/>
  <c r="W500" i="6"/>
  <c r="Y500" i="6" s="1"/>
  <c r="S500" i="6"/>
  <c r="X500" i="6" s="1"/>
  <c r="M498" i="6" l="1"/>
  <c r="N498" i="6" s="1"/>
  <c r="O497" i="6"/>
  <c r="H501" i="6"/>
  <c r="G500" i="6"/>
  <c r="J499" i="6"/>
  <c r="I499" i="6"/>
  <c r="K499" i="6"/>
  <c r="Q502" i="6"/>
  <c r="R503" i="6"/>
  <c r="S501" i="6"/>
  <c r="X501" i="6" s="1"/>
  <c r="U501" i="6"/>
  <c r="T501" i="6"/>
  <c r="V501" i="6"/>
  <c r="W501" i="6"/>
  <c r="Y501" i="6" s="1"/>
  <c r="O498" i="6" l="1"/>
  <c r="L499" i="6"/>
  <c r="M499" i="6" s="1"/>
  <c r="J500" i="6"/>
  <c r="K500" i="6"/>
  <c r="I500" i="6"/>
  <c r="H502" i="6"/>
  <c r="G501" i="6"/>
  <c r="Q503" i="6"/>
  <c r="R504" i="6"/>
  <c r="S502" i="6"/>
  <c r="X502" i="6" s="1"/>
  <c r="T502" i="6"/>
  <c r="V502" i="6"/>
  <c r="W502" i="6"/>
  <c r="Y502" i="6" s="1"/>
  <c r="U502" i="6"/>
  <c r="O499" i="6" l="1"/>
  <c r="M500" i="6"/>
  <c r="M501" i="6" s="1"/>
  <c r="N500" i="6"/>
  <c r="N499" i="6"/>
  <c r="L500" i="6"/>
  <c r="H503" i="6"/>
  <c r="G502" i="6"/>
  <c r="K501" i="6"/>
  <c r="J501" i="6"/>
  <c r="L501" i="6"/>
  <c r="I501" i="6"/>
  <c r="Q504" i="6"/>
  <c r="R505" i="6"/>
  <c r="T503" i="6"/>
  <c r="U503" i="6"/>
  <c r="W503" i="6"/>
  <c r="Y503" i="6" s="1"/>
  <c r="V503" i="6"/>
  <c r="S503" i="6"/>
  <c r="X503" i="6" s="1"/>
  <c r="O500" i="6" l="1"/>
  <c r="O501" i="6" s="1"/>
  <c r="N501" i="6"/>
  <c r="J502" i="6"/>
  <c r="K502" i="6"/>
  <c r="L502" i="6"/>
  <c r="M502" i="6" s="1"/>
  <c r="I502" i="6"/>
  <c r="G503" i="6"/>
  <c r="H504" i="6"/>
  <c r="T504" i="6"/>
  <c r="V504" i="6"/>
  <c r="W504" i="6"/>
  <c r="Y504" i="6" s="1"/>
  <c r="U504" i="6"/>
  <c r="S504" i="6"/>
  <c r="X504" i="6" s="1"/>
  <c r="Q505" i="6"/>
  <c r="R506" i="6"/>
  <c r="N502" i="6" l="1"/>
  <c r="O502" i="6"/>
  <c r="H505" i="6"/>
  <c r="G504" i="6"/>
  <c r="I503" i="6"/>
  <c r="K503" i="6"/>
  <c r="J503" i="6"/>
  <c r="U505" i="6"/>
  <c r="V505" i="6"/>
  <c r="T505" i="6"/>
  <c r="W505" i="6"/>
  <c r="Y505" i="6" s="1"/>
  <c r="S505" i="6"/>
  <c r="X505" i="6" s="1"/>
  <c r="R507" i="6"/>
  <c r="Q506" i="6"/>
  <c r="L503" i="6" l="1"/>
  <c r="M503" i="6" s="1"/>
  <c r="O503" i="6" s="1"/>
  <c r="I504" i="6"/>
  <c r="L504" i="6" s="1"/>
  <c r="J504" i="6"/>
  <c r="K504" i="6"/>
  <c r="G505" i="6"/>
  <c r="H506" i="6"/>
  <c r="W506" i="6"/>
  <c r="Y506" i="6" s="1"/>
  <c r="S506" i="6"/>
  <c r="X506" i="6" s="1"/>
  <c r="V506" i="6"/>
  <c r="T506" i="6"/>
  <c r="U506" i="6"/>
  <c r="Q507" i="6"/>
  <c r="R508" i="6"/>
  <c r="N503" i="6" l="1"/>
  <c r="M504" i="6"/>
  <c r="O504" i="6" s="1"/>
  <c r="G506" i="6"/>
  <c r="H507" i="6"/>
  <c r="K505" i="6"/>
  <c r="I505" i="6"/>
  <c r="L505" i="6" s="1"/>
  <c r="J505" i="6"/>
  <c r="R509" i="6"/>
  <c r="Q508" i="6"/>
  <c r="U507" i="6"/>
  <c r="V507" i="6"/>
  <c r="W507" i="6"/>
  <c r="Y507" i="6" s="1"/>
  <c r="S507" i="6"/>
  <c r="X507" i="6" s="1"/>
  <c r="T507" i="6"/>
  <c r="M505" i="6" l="1"/>
  <c r="O505" i="6" s="1"/>
  <c r="N504" i="6"/>
  <c r="G507" i="6"/>
  <c r="H508" i="6"/>
  <c r="K506" i="6"/>
  <c r="J506" i="6"/>
  <c r="I506" i="6"/>
  <c r="L506" i="6" s="1"/>
  <c r="Q509" i="6"/>
  <c r="R510" i="6"/>
  <c r="V508" i="6"/>
  <c r="W508" i="6"/>
  <c r="Y508" i="6" s="1"/>
  <c r="S508" i="6"/>
  <c r="X508" i="6" s="1"/>
  <c r="U508" i="6"/>
  <c r="T508" i="6"/>
  <c r="M506" i="6" l="1"/>
  <c r="O506" i="6" s="1"/>
  <c r="N506" i="6"/>
  <c r="N505" i="6"/>
  <c r="H509" i="6"/>
  <c r="G508" i="6"/>
  <c r="J507" i="6"/>
  <c r="K507" i="6"/>
  <c r="I507" i="6"/>
  <c r="L507" i="6"/>
  <c r="Q510" i="6"/>
  <c r="R511" i="6"/>
  <c r="T509" i="6"/>
  <c r="W509" i="6"/>
  <c r="Y509" i="6" s="1"/>
  <c r="V509" i="6"/>
  <c r="U509" i="6"/>
  <c r="S509" i="6"/>
  <c r="X509" i="6" s="1"/>
  <c r="M507" i="6" l="1"/>
  <c r="O507" i="6" s="1"/>
  <c r="N507" i="6"/>
  <c r="K508" i="6"/>
  <c r="I508" i="6"/>
  <c r="J508" i="6"/>
  <c r="G509" i="6"/>
  <c r="H510" i="6"/>
  <c r="R512" i="6"/>
  <c r="Q511" i="6"/>
  <c r="S510" i="6"/>
  <c r="X510" i="6" s="1"/>
  <c r="U510" i="6"/>
  <c r="T510" i="6"/>
  <c r="V510" i="6"/>
  <c r="W510" i="6"/>
  <c r="Y510" i="6" s="1"/>
  <c r="M508" i="6" l="1"/>
  <c r="O508" i="6" s="1"/>
  <c r="N508" i="6"/>
  <c r="L508" i="6"/>
  <c r="I509" i="6"/>
  <c r="K509" i="6"/>
  <c r="J509" i="6"/>
  <c r="L509" i="6" s="1"/>
  <c r="H511" i="6"/>
  <c r="G510" i="6"/>
  <c r="Q512" i="6"/>
  <c r="R513" i="6"/>
  <c r="W511" i="6"/>
  <c r="Y511" i="6" s="1"/>
  <c r="U511" i="6"/>
  <c r="S511" i="6"/>
  <c r="X511" i="6" s="1"/>
  <c r="V511" i="6"/>
  <c r="T511" i="6"/>
  <c r="M509" i="6" l="1"/>
  <c r="O509" i="6" s="1"/>
  <c r="I510" i="6"/>
  <c r="J510" i="6"/>
  <c r="K510" i="6"/>
  <c r="L510" i="6"/>
  <c r="H512" i="6"/>
  <c r="G511" i="6"/>
  <c r="Q513" i="6"/>
  <c r="R514" i="6"/>
  <c r="V512" i="6"/>
  <c r="T512" i="6"/>
  <c r="U512" i="6"/>
  <c r="W512" i="6"/>
  <c r="Y512" i="6" s="1"/>
  <c r="S512" i="6"/>
  <c r="X512" i="6" s="1"/>
  <c r="N509" i="6" l="1"/>
  <c r="M510" i="6"/>
  <c r="O510" i="6" s="1"/>
  <c r="H513" i="6"/>
  <c r="G512" i="6"/>
  <c r="K511" i="6"/>
  <c r="J511" i="6"/>
  <c r="I511" i="6"/>
  <c r="L511" i="6" s="1"/>
  <c r="Q514" i="6"/>
  <c r="R515" i="6"/>
  <c r="U513" i="6"/>
  <c r="V513" i="6"/>
  <c r="T513" i="6"/>
  <c r="W513" i="6"/>
  <c r="Y513" i="6" s="1"/>
  <c r="S513" i="6"/>
  <c r="X513" i="6" s="1"/>
  <c r="M511" i="6" l="1"/>
  <c r="O511" i="6" s="1"/>
  <c r="N510" i="6"/>
  <c r="J512" i="6"/>
  <c r="I512" i="6"/>
  <c r="K512" i="6"/>
  <c r="L512" i="6" s="1"/>
  <c r="H514" i="6"/>
  <c r="G513" i="6"/>
  <c r="V514" i="6"/>
  <c r="W514" i="6"/>
  <c r="Y514" i="6" s="1"/>
  <c r="T514" i="6"/>
  <c r="S514" i="6"/>
  <c r="X514" i="6" s="1"/>
  <c r="U514" i="6"/>
  <c r="Q515" i="6"/>
  <c r="R516" i="6"/>
  <c r="M512" i="6" l="1"/>
  <c r="O512" i="6" s="1"/>
  <c r="N512" i="6"/>
  <c r="N511" i="6"/>
  <c r="G514" i="6"/>
  <c r="H515" i="6"/>
  <c r="I513" i="6"/>
  <c r="J513" i="6"/>
  <c r="K513" i="6"/>
  <c r="L513" i="6"/>
  <c r="U515" i="6"/>
  <c r="V515" i="6"/>
  <c r="T515" i="6"/>
  <c r="W515" i="6"/>
  <c r="Y515" i="6" s="1"/>
  <c r="S515" i="6"/>
  <c r="X515" i="6" s="1"/>
  <c r="Q516" i="6"/>
  <c r="R517" i="6"/>
  <c r="M513" i="6" l="1"/>
  <c r="O513" i="6" s="1"/>
  <c r="N513" i="6"/>
  <c r="H516" i="6"/>
  <c r="G515" i="6"/>
  <c r="J514" i="6"/>
  <c r="K514" i="6"/>
  <c r="I514" i="6"/>
  <c r="L514" i="6"/>
  <c r="S516" i="6"/>
  <c r="X516" i="6" s="1"/>
  <c r="U516" i="6"/>
  <c r="T516" i="6"/>
  <c r="W516" i="6"/>
  <c r="Y516" i="6" s="1"/>
  <c r="V516" i="6"/>
  <c r="Q517" i="6"/>
  <c r="R518" i="6"/>
  <c r="M514" i="6" l="1"/>
  <c r="O514" i="6" s="1"/>
  <c r="K515" i="6"/>
  <c r="J515" i="6"/>
  <c r="I515" i="6"/>
  <c r="G516" i="6"/>
  <c r="H517" i="6"/>
  <c r="U517" i="6"/>
  <c r="V517" i="6"/>
  <c r="W517" i="6"/>
  <c r="Y517" i="6" s="1"/>
  <c r="S517" i="6"/>
  <c r="X517" i="6" s="1"/>
  <c r="T517" i="6"/>
  <c r="R519" i="6"/>
  <c r="Q518" i="6"/>
  <c r="N514" i="6" l="1"/>
  <c r="N515" i="6"/>
  <c r="L515" i="6"/>
  <c r="M515" i="6"/>
  <c r="O515" i="6" s="1"/>
  <c r="I516" i="6"/>
  <c r="J516" i="6"/>
  <c r="K516" i="6"/>
  <c r="L516" i="6"/>
  <c r="M516" i="6" s="1"/>
  <c r="H518" i="6"/>
  <c r="G517" i="6"/>
  <c r="Q519" i="6"/>
  <c r="R520" i="6"/>
  <c r="V518" i="6"/>
  <c r="T518" i="6"/>
  <c r="U518" i="6"/>
  <c r="W518" i="6"/>
  <c r="Y518" i="6" s="1"/>
  <c r="S518" i="6"/>
  <c r="X518" i="6" s="1"/>
  <c r="O516" i="6" l="1"/>
  <c r="N516" i="6"/>
  <c r="G518" i="6"/>
  <c r="H519" i="6"/>
  <c r="J517" i="6"/>
  <c r="I517" i="6"/>
  <c r="K517" i="6"/>
  <c r="V519" i="6"/>
  <c r="T519" i="6"/>
  <c r="U519" i="6"/>
  <c r="W519" i="6"/>
  <c r="Y519" i="6" s="1"/>
  <c r="S519" i="6"/>
  <c r="X519" i="6" s="1"/>
  <c r="Q520" i="6"/>
  <c r="R521" i="6"/>
  <c r="L517" i="6" l="1"/>
  <c r="M517" i="6" s="1"/>
  <c r="O517" i="6" s="1"/>
  <c r="G519" i="6"/>
  <c r="H520" i="6"/>
  <c r="J518" i="6"/>
  <c r="I518" i="6"/>
  <c r="L518" i="6" s="1"/>
  <c r="K518" i="6"/>
  <c r="V520" i="6"/>
  <c r="W520" i="6"/>
  <c r="Y520" i="6" s="1"/>
  <c r="T520" i="6"/>
  <c r="S520" i="6"/>
  <c r="X520" i="6" s="1"/>
  <c r="U520" i="6"/>
  <c r="Q521" i="6"/>
  <c r="R522" i="6"/>
  <c r="M518" i="6" l="1"/>
  <c r="O518" i="6" s="1"/>
  <c r="N517" i="6"/>
  <c r="H521" i="6"/>
  <c r="G520" i="6"/>
  <c r="J519" i="6"/>
  <c r="I519" i="6"/>
  <c r="K519" i="6"/>
  <c r="R523" i="6"/>
  <c r="Q522" i="6"/>
  <c r="V521" i="6"/>
  <c r="U521" i="6"/>
  <c r="W521" i="6"/>
  <c r="Y521" i="6" s="1"/>
  <c r="T521" i="6"/>
  <c r="S521" i="6"/>
  <c r="X521" i="6" s="1"/>
  <c r="M519" i="6" l="1"/>
  <c r="O519" i="6" s="1"/>
  <c r="N519" i="6"/>
  <c r="L519" i="6"/>
  <c r="N518" i="6"/>
  <c r="I520" i="6"/>
  <c r="J520" i="6"/>
  <c r="K520" i="6"/>
  <c r="G521" i="6"/>
  <c r="H522" i="6"/>
  <c r="Q523" i="6"/>
  <c r="R524" i="6"/>
  <c r="V522" i="6"/>
  <c r="T522" i="6"/>
  <c r="W522" i="6"/>
  <c r="Y522" i="6" s="1"/>
  <c r="U522" i="6"/>
  <c r="S522" i="6"/>
  <c r="X522" i="6" s="1"/>
  <c r="M520" i="6" l="1"/>
  <c r="O520" i="6" s="1"/>
  <c r="N520" i="6"/>
  <c r="L520" i="6"/>
  <c r="G522" i="6"/>
  <c r="H523" i="6"/>
  <c r="K521" i="6"/>
  <c r="J521" i="6"/>
  <c r="I521" i="6"/>
  <c r="L521" i="6"/>
  <c r="R525" i="6"/>
  <c r="Q524" i="6"/>
  <c r="T523" i="6"/>
  <c r="W523" i="6"/>
  <c r="Y523" i="6" s="1"/>
  <c r="U523" i="6"/>
  <c r="V523" i="6"/>
  <c r="S523" i="6"/>
  <c r="X523" i="6" s="1"/>
  <c r="M521" i="6" l="1"/>
  <c r="O521" i="6" s="1"/>
  <c r="G523" i="6"/>
  <c r="H524" i="6"/>
  <c r="K522" i="6"/>
  <c r="I522" i="6"/>
  <c r="J522" i="6"/>
  <c r="S524" i="6"/>
  <c r="X524" i="6" s="1"/>
  <c r="T524" i="6"/>
  <c r="U524" i="6"/>
  <c r="V524" i="6"/>
  <c r="W524" i="6"/>
  <c r="Y524" i="6" s="1"/>
  <c r="R526" i="6"/>
  <c r="Q525" i="6"/>
  <c r="M522" i="6" l="1"/>
  <c r="O522" i="6" s="1"/>
  <c r="L522" i="6"/>
  <c r="N521" i="6"/>
  <c r="H525" i="6"/>
  <c r="G524" i="6"/>
  <c r="K523" i="6"/>
  <c r="J523" i="6"/>
  <c r="L523" i="6"/>
  <c r="I523" i="6"/>
  <c r="T525" i="6"/>
  <c r="U525" i="6"/>
  <c r="W525" i="6"/>
  <c r="Y525" i="6" s="1"/>
  <c r="S525" i="6"/>
  <c r="X525" i="6" s="1"/>
  <c r="V525" i="6"/>
  <c r="Q526" i="6"/>
  <c r="R527" i="6"/>
  <c r="M523" i="6" l="1"/>
  <c r="O523" i="6" s="1"/>
  <c r="N523" i="6"/>
  <c r="N522" i="6"/>
  <c r="K524" i="6"/>
  <c r="I524" i="6"/>
  <c r="J524" i="6"/>
  <c r="G525" i="6"/>
  <c r="H526" i="6"/>
  <c r="U526" i="6"/>
  <c r="V526" i="6"/>
  <c r="T526" i="6"/>
  <c r="W526" i="6"/>
  <c r="Y526" i="6" s="1"/>
  <c r="S526" i="6"/>
  <c r="X526" i="6" s="1"/>
  <c r="Q527" i="6"/>
  <c r="R528" i="6"/>
  <c r="M524" i="6" l="1"/>
  <c r="O524" i="6" s="1"/>
  <c r="N524" i="6"/>
  <c r="L524" i="6"/>
  <c r="J525" i="6"/>
  <c r="K525" i="6"/>
  <c r="I525" i="6"/>
  <c r="H527" i="6"/>
  <c r="G526" i="6"/>
  <c r="V527" i="6"/>
  <c r="T527" i="6"/>
  <c r="U527" i="6"/>
  <c r="W527" i="6"/>
  <c r="Y527" i="6" s="1"/>
  <c r="S527" i="6"/>
  <c r="X527" i="6" s="1"/>
  <c r="Q528" i="6"/>
  <c r="R529" i="6"/>
  <c r="L525" i="6" l="1"/>
  <c r="M525" i="6" s="1"/>
  <c r="G527" i="6"/>
  <c r="H528" i="6"/>
  <c r="K526" i="6"/>
  <c r="J526" i="6"/>
  <c r="I526" i="6"/>
  <c r="W528" i="6"/>
  <c r="Y528" i="6" s="1"/>
  <c r="T528" i="6"/>
  <c r="U528" i="6"/>
  <c r="S528" i="6"/>
  <c r="X528" i="6" s="1"/>
  <c r="V528" i="6"/>
  <c r="R530" i="6"/>
  <c r="Q529" i="6"/>
  <c r="O525" i="6" l="1"/>
  <c r="M526" i="6"/>
  <c r="N525" i="6"/>
  <c r="L526" i="6"/>
  <c r="H529" i="6"/>
  <c r="G528" i="6"/>
  <c r="K527" i="6"/>
  <c r="I527" i="6"/>
  <c r="J527" i="6"/>
  <c r="Q530" i="6"/>
  <c r="R531" i="6"/>
  <c r="S529" i="6"/>
  <c r="X529" i="6" s="1"/>
  <c r="V529" i="6"/>
  <c r="T529" i="6"/>
  <c r="U529" i="6"/>
  <c r="W529" i="6"/>
  <c r="Y529" i="6" s="1"/>
  <c r="O526" i="6" l="1"/>
  <c r="M527" i="6"/>
  <c r="N526" i="6"/>
  <c r="L527" i="6"/>
  <c r="J528" i="6"/>
  <c r="I528" i="6"/>
  <c r="K528" i="6"/>
  <c r="H530" i="6"/>
  <c r="G529" i="6"/>
  <c r="Q531" i="6"/>
  <c r="R532" i="6"/>
  <c r="T530" i="6"/>
  <c r="U530" i="6"/>
  <c r="W530" i="6"/>
  <c r="Y530" i="6" s="1"/>
  <c r="S530" i="6"/>
  <c r="X530" i="6" s="1"/>
  <c r="V530" i="6"/>
  <c r="O527" i="6" l="1"/>
  <c r="L528" i="6"/>
  <c r="M528" i="6" s="1"/>
  <c r="N527" i="6"/>
  <c r="H531" i="6"/>
  <c r="G530" i="6"/>
  <c r="J529" i="6"/>
  <c r="L529" i="6" s="1"/>
  <c r="I529" i="6"/>
  <c r="K529" i="6"/>
  <c r="U531" i="6"/>
  <c r="T531" i="6"/>
  <c r="W531" i="6"/>
  <c r="Y531" i="6" s="1"/>
  <c r="V531" i="6"/>
  <c r="S531" i="6"/>
  <c r="X531" i="6" s="1"/>
  <c r="Q532" i="6"/>
  <c r="R533" i="6"/>
  <c r="O528" i="6" l="1"/>
  <c r="N528" i="6"/>
  <c r="M529" i="6"/>
  <c r="N529" i="6"/>
  <c r="K530" i="6"/>
  <c r="J530" i="6"/>
  <c r="I530" i="6"/>
  <c r="L530" i="6"/>
  <c r="M530" i="6" s="1"/>
  <c r="G531" i="6"/>
  <c r="H532" i="6"/>
  <c r="T532" i="6"/>
  <c r="V532" i="6"/>
  <c r="W532" i="6"/>
  <c r="Y532" i="6" s="1"/>
  <c r="U532" i="6"/>
  <c r="S532" i="6"/>
  <c r="X532" i="6" s="1"/>
  <c r="R534" i="6"/>
  <c r="Q533" i="6"/>
  <c r="N530" i="6" l="1"/>
  <c r="O529" i="6"/>
  <c r="O530" i="6" s="1"/>
  <c r="G532" i="6"/>
  <c r="H533" i="6"/>
  <c r="I531" i="6"/>
  <c r="K531" i="6"/>
  <c r="J531" i="6"/>
  <c r="Q534" i="6"/>
  <c r="R535" i="6"/>
  <c r="V533" i="6"/>
  <c r="U533" i="6"/>
  <c r="W533" i="6"/>
  <c r="Y533" i="6" s="1"/>
  <c r="T533" i="6"/>
  <c r="S533" i="6"/>
  <c r="X533" i="6" s="1"/>
  <c r="L531" i="6" l="1"/>
  <c r="M531" i="6" s="1"/>
  <c r="O531" i="6" s="1"/>
  <c r="G533" i="6"/>
  <c r="H534" i="6"/>
  <c r="K532" i="6"/>
  <c r="I532" i="6"/>
  <c r="J532" i="6"/>
  <c r="Q535" i="6"/>
  <c r="R536" i="6"/>
  <c r="S534" i="6"/>
  <c r="X534" i="6" s="1"/>
  <c r="V534" i="6"/>
  <c r="T534" i="6"/>
  <c r="U534" i="6"/>
  <c r="W534" i="6"/>
  <c r="Y534" i="6" s="1"/>
  <c r="L532" i="6" l="1"/>
  <c r="M532" i="6" s="1"/>
  <c r="O532" i="6" s="1"/>
  <c r="N531" i="6"/>
  <c r="G534" i="6"/>
  <c r="H535" i="6"/>
  <c r="J533" i="6"/>
  <c r="K533" i="6"/>
  <c r="I533" i="6"/>
  <c r="L533" i="6"/>
  <c r="Q536" i="6"/>
  <c r="R537" i="6"/>
  <c r="T535" i="6"/>
  <c r="U535" i="6"/>
  <c r="W535" i="6"/>
  <c r="Y535" i="6" s="1"/>
  <c r="V535" i="6"/>
  <c r="S535" i="6"/>
  <c r="X535" i="6" s="1"/>
  <c r="N532" i="6" l="1"/>
  <c r="N533" i="6"/>
  <c r="M533" i="6"/>
  <c r="O533" i="6" s="1"/>
  <c r="H536" i="6"/>
  <c r="G535" i="6"/>
  <c r="K534" i="6"/>
  <c r="I534" i="6"/>
  <c r="J534" i="6"/>
  <c r="L534" i="6" s="1"/>
  <c r="M534" i="6" s="1"/>
  <c r="V536" i="6"/>
  <c r="W536" i="6"/>
  <c r="Y536" i="6" s="1"/>
  <c r="T536" i="6"/>
  <c r="U536" i="6"/>
  <c r="S536" i="6"/>
  <c r="X536" i="6" s="1"/>
  <c r="Q537" i="6"/>
  <c r="R538" i="6"/>
  <c r="O534" i="6" l="1"/>
  <c r="N534" i="6"/>
  <c r="L535" i="6"/>
  <c r="M535" i="6" s="1"/>
  <c r="J535" i="6"/>
  <c r="I535" i="6"/>
  <c r="K535" i="6"/>
  <c r="H537" i="6"/>
  <c r="G536" i="6"/>
  <c r="V537" i="6"/>
  <c r="U537" i="6"/>
  <c r="W537" i="6"/>
  <c r="Y537" i="6" s="1"/>
  <c r="S537" i="6"/>
  <c r="X537" i="6" s="1"/>
  <c r="T537" i="6"/>
  <c r="Q538" i="6"/>
  <c r="R539" i="6"/>
  <c r="O535" i="6" l="1"/>
  <c r="N535" i="6"/>
  <c r="H538" i="6"/>
  <c r="G537" i="6"/>
  <c r="I536" i="6"/>
  <c r="K536" i="6"/>
  <c r="J536" i="6"/>
  <c r="L536" i="6" s="1"/>
  <c r="M536" i="6" s="1"/>
  <c r="W538" i="6"/>
  <c r="Y538" i="6" s="1"/>
  <c r="S538" i="6"/>
  <c r="X538" i="6" s="1"/>
  <c r="V538" i="6"/>
  <c r="T538" i="6"/>
  <c r="U538" i="6"/>
  <c r="Q539" i="6"/>
  <c r="R540" i="6"/>
  <c r="O536" i="6" l="1"/>
  <c r="N536" i="6"/>
  <c r="I537" i="6"/>
  <c r="K537" i="6"/>
  <c r="J537" i="6"/>
  <c r="G538" i="6"/>
  <c r="H539" i="6"/>
  <c r="S539" i="6"/>
  <c r="X539" i="6" s="1"/>
  <c r="T539" i="6"/>
  <c r="U539" i="6"/>
  <c r="V539" i="6"/>
  <c r="W539" i="6"/>
  <c r="Y539" i="6" s="1"/>
  <c r="Q540" i="6"/>
  <c r="R541" i="6"/>
  <c r="L537" i="6" l="1"/>
  <c r="M537" i="6" s="1"/>
  <c r="O537" i="6" s="1"/>
  <c r="G539" i="6"/>
  <c r="H540" i="6"/>
  <c r="K538" i="6"/>
  <c r="I538" i="6"/>
  <c r="J538" i="6"/>
  <c r="L538" i="6"/>
  <c r="Q541" i="6"/>
  <c r="R542" i="6"/>
  <c r="W540" i="6"/>
  <c r="Y540" i="6" s="1"/>
  <c r="T540" i="6"/>
  <c r="V540" i="6"/>
  <c r="U540" i="6"/>
  <c r="S540" i="6"/>
  <c r="X540" i="6" s="1"/>
  <c r="N537" i="6" l="1"/>
  <c r="N538" i="6"/>
  <c r="M538" i="6"/>
  <c r="O538" i="6" s="1"/>
  <c r="H541" i="6"/>
  <c r="G540" i="6"/>
  <c r="J539" i="6"/>
  <c r="I539" i="6"/>
  <c r="K539" i="6"/>
  <c r="L539" i="6" s="1"/>
  <c r="M539" i="6" s="1"/>
  <c r="R543" i="6"/>
  <c r="Q542" i="6"/>
  <c r="W541" i="6"/>
  <c r="Y541" i="6" s="1"/>
  <c r="S541" i="6"/>
  <c r="X541" i="6" s="1"/>
  <c r="V541" i="6"/>
  <c r="T541" i="6"/>
  <c r="U541" i="6"/>
  <c r="O539" i="6" l="1"/>
  <c r="N539" i="6"/>
  <c r="K540" i="6"/>
  <c r="L540" i="6" s="1"/>
  <c r="M540" i="6" s="1"/>
  <c r="J540" i="6"/>
  <c r="I540" i="6"/>
  <c r="G541" i="6"/>
  <c r="H542" i="6"/>
  <c r="V542" i="6"/>
  <c r="W542" i="6"/>
  <c r="Y542" i="6" s="1"/>
  <c r="T542" i="6"/>
  <c r="U542" i="6"/>
  <c r="S542" i="6"/>
  <c r="X542" i="6" s="1"/>
  <c r="Q543" i="6"/>
  <c r="R544" i="6"/>
  <c r="O540" i="6" l="1"/>
  <c r="N540" i="6"/>
  <c r="J541" i="6"/>
  <c r="K541" i="6"/>
  <c r="I541" i="6"/>
  <c r="G542" i="6"/>
  <c r="H543" i="6"/>
  <c r="T543" i="6"/>
  <c r="V543" i="6"/>
  <c r="U543" i="6"/>
  <c r="S543" i="6"/>
  <c r="X543" i="6" s="1"/>
  <c r="W543" i="6"/>
  <c r="Y543" i="6" s="1"/>
  <c r="Q544" i="6"/>
  <c r="R545" i="6"/>
  <c r="L541" i="6" l="1"/>
  <c r="M541" i="6" s="1"/>
  <c r="O541" i="6" s="1"/>
  <c r="H544" i="6"/>
  <c r="G543" i="6"/>
  <c r="J542" i="6"/>
  <c r="I542" i="6"/>
  <c r="K542" i="6"/>
  <c r="L542" i="6"/>
  <c r="R546" i="6"/>
  <c r="Q545" i="6"/>
  <c r="W544" i="6"/>
  <c r="Y544" i="6" s="1"/>
  <c r="T544" i="6"/>
  <c r="U544" i="6"/>
  <c r="V544" i="6"/>
  <c r="S544" i="6"/>
  <c r="X544" i="6" s="1"/>
  <c r="N542" i="6" l="1"/>
  <c r="N541" i="6"/>
  <c r="M542" i="6"/>
  <c r="O542" i="6" s="1"/>
  <c r="J543" i="6"/>
  <c r="K543" i="6"/>
  <c r="I543" i="6"/>
  <c r="H545" i="6"/>
  <c r="G544" i="6"/>
  <c r="W545" i="6"/>
  <c r="Y545" i="6" s="1"/>
  <c r="U545" i="6"/>
  <c r="V545" i="6"/>
  <c r="S545" i="6"/>
  <c r="X545" i="6" s="1"/>
  <c r="T545" i="6"/>
  <c r="Q546" i="6"/>
  <c r="R547" i="6"/>
  <c r="L543" i="6" l="1"/>
  <c r="M543" i="6" s="1"/>
  <c r="O543" i="6" s="1"/>
  <c r="I544" i="6"/>
  <c r="K544" i="6"/>
  <c r="J544" i="6"/>
  <c r="L544" i="6" s="1"/>
  <c r="H546" i="6"/>
  <c r="G545" i="6"/>
  <c r="T546" i="6"/>
  <c r="U546" i="6"/>
  <c r="S546" i="6"/>
  <c r="X546" i="6" s="1"/>
  <c r="V546" i="6"/>
  <c r="W546" i="6"/>
  <c r="Y546" i="6" s="1"/>
  <c r="Q547" i="6"/>
  <c r="R548" i="6"/>
  <c r="N543" i="6" l="1"/>
  <c r="M544" i="6"/>
  <c r="O544" i="6" s="1"/>
  <c r="I545" i="6"/>
  <c r="J545" i="6"/>
  <c r="K545" i="6"/>
  <c r="L545" i="6" s="1"/>
  <c r="G546" i="6"/>
  <c r="H547" i="6"/>
  <c r="Q548" i="6"/>
  <c r="R549" i="6"/>
  <c r="T547" i="6"/>
  <c r="W547" i="6"/>
  <c r="Y547" i="6" s="1"/>
  <c r="V547" i="6"/>
  <c r="U547" i="6"/>
  <c r="S547" i="6"/>
  <c r="X547" i="6" s="1"/>
  <c r="M545" i="6" l="1"/>
  <c r="O545" i="6" s="1"/>
  <c r="N544" i="6"/>
  <c r="G547" i="6"/>
  <c r="H548" i="6"/>
  <c r="K546" i="6"/>
  <c r="J546" i="6"/>
  <c r="I546" i="6"/>
  <c r="U548" i="6"/>
  <c r="S548" i="6"/>
  <c r="X548" i="6" s="1"/>
  <c r="T548" i="6"/>
  <c r="V548" i="6"/>
  <c r="W548" i="6"/>
  <c r="Y548" i="6" s="1"/>
  <c r="R550" i="6"/>
  <c r="Q549" i="6"/>
  <c r="N545" i="6" l="1"/>
  <c r="M546" i="6"/>
  <c r="O546" i="6" s="1"/>
  <c r="L546" i="6"/>
  <c r="G548" i="6"/>
  <c r="H549" i="6"/>
  <c r="J547" i="6"/>
  <c r="K547" i="6"/>
  <c r="L547" i="6"/>
  <c r="I547" i="6"/>
  <c r="T549" i="6"/>
  <c r="V549" i="6"/>
  <c r="U549" i="6"/>
  <c r="W549" i="6"/>
  <c r="Y549" i="6" s="1"/>
  <c r="S549" i="6"/>
  <c r="X549" i="6" s="1"/>
  <c r="Q550" i="6"/>
  <c r="R551" i="6"/>
  <c r="M547" i="6" l="1"/>
  <c r="O547" i="6" s="1"/>
  <c r="N547" i="6"/>
  <c r="N546" i="6"/>
  <c r="G549" i="6"/>
  <c r="H550" i="6"/>
  <c r="I548" i="6"/>
  <c r="J548" i="6"/>
  <c r="K548" i="6"/>
  <c r="L548" i="6" s="1"/>
  <c r="S550" i="6"/>
  <c r="X550" i="6" s="1"/>
  <c r="T550" i="6"/>
  <c r="U550" i="6"/>
  <c r="W550" i="6"/>
  <c r="Y550" i="6" s="1"/>
  <c r="V550" i="6"/>
  <c r="R552" i="6"/>
  <c r="Q551" i="6"/>
  <c r="M548" i="6" l="1"/>
  <c r="O548" i="6" s="1"/>
  <c r="N548" i="6"/>
  <c r="H551" i="6"/>
  <c r="G550" i="6"/>
  <c r="J549" i="6"/>
  <c r="K549" i="6"/>
  <c r="I549" i="6"/>
  <c r="L549" i="6"/>
  <c r="Q552" i="6"/>
  <c r="R553" i="6"/>
  <c r="U551" i="6"/>
  <c r="V551" i="6"/>
  <c r="T551" i="6"/>
  <c r="W551" i="6"/>
  <c r="Y551" i="6" s="1"/>
  <c r="S551" i="6"/>
  <c r="X551" i="6" s="1"/>
  <c r="M549" i="6" l="1"/>
  <c r="O549" i="6" s="1"/>
  <c r="J550" i="6"/>
  <c r="I550" i="6"/>
  <c r="K550" i="6"/>
  <c r="L550" i="6"/>
  <c r="H552" i="6"/>
  <c r="G551" i="6"/>
  <c r="R554" i="6"/>
  <c r="Q553" i="6"/>
  <c r="V552" i="6"/>
  <c r="T552" i="6"/>
  <c r="W552" i="6"/>
  <c r="Y552" i="6" s="1"/>
  <c r="U552" i="6"/>
  <c r="S552" i="6"/>
  <c r="X552" i="6" s="1"/>
  <c r="N549" i="6" l="1"/>
  <c r="N550" i="6"/>
  <c r="M550" i="6"/>
  <c r="O550" i="6" s="1"/>
  <c r="K551" i="6"/>
  <c r="I551" i="6"/>
  <c r="L551" i="6" s="1"/>
  <c r="M551" i="6" s="1"/>
  <c r="J551" i="6"/>
  <c r="H553" i="6"/>
  <c r="G552" i="6"/>
  <c r="T553" i="6"/>
  <c r="V553" i="6"/>
  <c r="W553" i="6"/>
  <c r="Y553" i="6" s="1"/>
  <c r="S553" i="6"/>
  <c r="X553" i="6" s="1"/>
  <c r="U553" i="6"/>
  <c r="R555" i="6"/>
  <c r="Q554" i="6"/>
  <c r="O551" i="6" l="1"/>
  <c r="N551" i="6"/>
  <c r="H554" i="6"/>
  <c r="G553" i="6"/>
  <c r="K552" i="6"/>
  <c r="J552" i="6"/>
  <c r="I552" i="6"/>
  <c r="V554" i="6"/>
  <c r="T554" i="6"/>
  <c r="U554" i="6"/>
  <c r="W554" i="6"/>
  <c r="Y554" i="6" s="1"/>
  <c r="S554" i="6"/>
  <c r="X554" i="6" s="1"/>
  <c r="Q555" i="6"/>
  <c r="R556" i="6"/>
  <c r="L552" i="6" l="1"/>
  <c r="M552" i="6" s="1"/>
  <c r="O552" i="6" s="1"/>
  <c r="K553" i="6"/>
  <c r="I553" i="6"/>
  <c r="J553" i="6"/>
  <c r="G554" i="6"/>
  <c r="H555" i="6"/>
  <c r="Q556" i="6"/>
  <c r="R557" i="6"/>
  <c r="U555" i="6"/>
  <c r="W555" i="6"/>
  <c r="Y555" i="6" s="1"/>
  <c r="S555" i="6"/>
  <c r="X555" i="6" s="1"/>
  <c r="V555" i="6"/>
  <c r="T555" i="6"/>
  <c r="N552" i="6" l="1"/>
  <c r="L553" i="6"/>
  <c r="M553" i="6" s="1"/>
  <c r="I554" i="6"/>
  <c r="K554" i="6"/>
  <c r="J554" i="6"/>
  <c r="L554" i="6" s="1"/>
  <c r="G555" i="6"/>
  <c r="H556" i="6"/>
  <c r="W556" i="6"/>
  <c r="Y556" i="6" s="1"/>
  <c r="T556" i="6"/>
  <c r="U556" i="6"/>
  <c r="V556" i="6"/>
  <c r="S556" i="6"/>
  <c r="X556" i="6" s="1"/>
  <c r="Q557" i="6"/>
  <c r="R558" i="6"/>
  <c r="O553" i="6" l="1"/>
  <c r="M554" i="6"/>
  <c r="N553" i="6"/>
  <c r="H557" i="6"/>
  <c r="G556" i="6"/>
  <c r="K555" i="6"/>
  <c r="I555" i="6"/>
  <c r="J555" i="6"/>
  <c r="S557" i="6"/>
  <c r="X557" i="6" s="1"/>
  <c r="V557" i="6"/>
  <c r="W557" i="6"/>
  <c r="Y557" i="6" s="1"/>
  <c r="T557" i="6"/>
  <c r="U557" i="6"/>
  <c r="Q558" i="6"/>
  <c r="R559" i="6"/>
  <c r="O554" i="6" l="1"/>
  <c r="L555" i="6"/>
  <c r="M555" i="6" s="1"/>
  <c r="N554" i="6"/>
  <c r="K556" i="6"/>
  <c r="J556" i="6"/>
  <c r="I556" i="6"/>
  <c r="L556" i="6" s="1"/>
  <c r="H558" i="6"/>
  <c r="G557" i="6"/>
  <c r="U558" i="6"/>
  <c r="W558" i="6"/>
  <c r="Y558" i="6" s="1"/>
  <c r="S558" i="6"/>
  <c r="X558" i="6" s="1"/>
  <c r="V558" i="6"/>
  <c r="T558" i="6"/>
  <c r="Q559" i="6"/>
  <c r="R560" i="6"/>
  <c r="O555" i="6" l="1"/>
  <c r="M556" i="6"/>
  <c r="N555" i="6"/>
  <c r="I557" i="6"/>
  <c r="J557" i="6"/>
  <c r="K557" i="6"/>
  <c r="L557" i="6"/>
  <c r="G558" i="6"/>
  <c r="H559" i="6"/>
  <c r="T559" i="6"/>
  <c r="W559" i="6"/>
  <c r="Y559" i="6" s="1"/>
  <c r="U559" i="6"/>
  <c r="S559" i="6"/>
  <c r="X559" i="6" s="1"/>
  <c r="V559" i="6"/>
  <c r="Q560" i="6"/>
  <c r="R561" i="6"/>
  <c r="O556" i="6" l="1"/>
  <c r="N556" i="6"/>
  <c r="M557" i="6"/>
  <c r="H560" i="6"/>
  <c r="G559" i="6"/>
  <c r="I558" i="6"/>
  <c r="J558" i="6"/>
  <c r="K558" i="6"/>
  <c r="L558" i="6"/>
  <c r="T560" i="6"/>
  <c r="S560" i="6"/>
  <c r="X560" i="6" s="1"/>
  <c r="U560" i="6"/>
  <c r="V560" i="6"/>
  <c r="W560" i="6"/>
  <c r="Y560" i="6" s="1"/>
  <c r="R562" i="6"/>
  <c r="Q561" i="6"/>
  <c r="O557" i="6" l="1"/>
  <c r="M558" i="6"/>
  <c r="N558" i="6"/>
  <c r="N557" i="6"/>
  <c r="I559" i="6"/>
  <c r="J559" i="6"/>
  <c r="K559" i="6"/>
  <c r="L559" i="6" s="1"/>
  <c r="G560" i="6"/>
  <c r="H561" i="6"/>
  <c r="R563" i="6"/>
  <c r="Q562" i="6"/>
  <c r="T561" i="6"/>
  <c r="V561" i="6"/>
  <c r="S561" i="6"/>
  <c r="X561" i="6" s="1"/>
  <c r="W561" i="6"/>
  <c r="Y561" i="6" s="1"/>
  <c r="U561" i="6"/>
  <c r="O558" i="6" l="1"/>
  <c r="M559" i="6"/>
  <c r="G561" i="6"/>
  <c r="H562" i="6"/>
  <c r="K560" i="6"/>
  <c r="I560" i="6"/>
  <c r="J560" i="6"/>
  <c r="R564" i="6"/>
  <c r="Q563" i="6"/>
  <c r="V562" i="6"/>
  <c r="S562" i="6"/>
  <c r="X562" i="6" s="1"/>
  <c r="W562" i="6"/>
  <c r="Y562" i="6" s="1"/>
  <c r="T562" i="6"/>
  <c r="U562" i="6"/>
  <c r="O559" i="6" l="1"/>
  <c r="N560" i="6"/>
  <c r="N559" i="6"/>
  <c r="L560" i="6"/>
  <c r="M560" i="6"/>
  <c r="H563" i="6"/>
  <c r="G562" i="6"/>
  <c r="K561" i="6"/>
  <c r="I561" i="6"/>
  <c r="J561" i="6"/>
  <c r="W563" i="6"/>
  <c r="Y563" i="6" s="1"/>
  <c r="U563" i="6"/>
  <c r="T563" i="6"/>
  <c r="S563" i="6"/>
  <c r="X563" i="6" s="1"/>
  <c r="V563" i="6"/>
  <c r="Q564" i="6"/>
  <c r="R565" i="6"/>
  <c r="O560" i="6" l="1"/>
  <c r="L561" i="6"/>
  <c r="M561" i="6" s="1"/>
  <c r="K562" i="6"/>
  <c r="I562" i="6"/>
  <c r="J562" i="6"/>
  <c r="L562" i="6" s="1"/>
  <c r="G563" i="6"/>
  <c r="H564" i="6"/>
  <c r="V564" i="6"/>
  <c r="S564" i="6"/>
  <c r="X564" i="6" s="1"/>
  <c r="W564" i="6"/>
  <c r="Y564" i="6" s="1"/>
  <c r="U564" i="6"/>
  <c r="T564" i="6"/>
  <c r="R566" i="6"/>
  <c r="Q565" i="6"/>
  <c r="O561" i="6" l="1"/>
  <c r="N561" i="6"/>
  <c r="N562" i="6"/>
  <c r="M562" i="6"/>
  <c r="H565" i="6"/>
  <c r="G564" i="6"/>
  <c r="J563" i="6"/>
  <c r="I563" i="6"/>
  <c r="K563" i="6"/>
  <c r="L563" i="6"/>
  <c r="M563" i="6" s="1"/>
  <c r="Q566" i="6"/>
  <c r="R567" i="6"/>
  <c r="T565" i="6"/>
  <c r="S565" i="6"/>
  <c r="X565" i="6" s="1"/>
  <c r="V565" i="6"/>
  <c r="U565" i="6"/>
  <c r="W565" i="6"/>
  <c r="Y565" i="6" s="1"/>
  <c r="O562" i="6" l="1"/>
  <c r="O563" i="6" s="1"/>
  <c r="N563" i="6"/>
  <c r="L564" i="6"/>
  <c r="M564" i="6" s="1"/>
  <c r="J564" i="6"/>
  <c r="I564" i="6"/>
  <c r="K564" i="6"/>
  <c r="G565" i="6"/>
  <c r="H566" i="6"/>
  <c r="Q567" i="6"/>
  <c r="R568" i="6"/>
  <c r="V566" i="6"/>
  <c r="T566" i="6"/>
  <c r="U566" i="6"/>
  <c r="W566" i="6"/>
  <c r="Y566" i="6" s="1"/>
  <c r="S566" i="6"/>
  <c r="X566" i="6" s="1"/>
  <c r="O564" i="6" l="1"/>
  <c r="N564" i="6"/>
  <c r="H567" i="6"/>
  <c r="G566" i="6"/>
  <c r="J565" i="6"/>
  <c r="I565" i="6"/>
  <c r="K565" i="6"/>
  <c r="Q568" i="6"/>
  <c r="R569" i="6"/>
  <c r="T567" i="6"/>
  <c r="V567" i="6"/>
  <c r="W567" i="6"/>
  <c r="Y567" i="6" s="1"/>
  <c r="U567" i="6"/>
  <c r="S567" i="6"/>
  <c r="X567" i="6" s="1"/>
  <c r="L565" i="6" l="1"/>
  <c r="M565" i="6" s="1"/>
  <c r="O565" i="6" s="1"/>
  <c r="J566" i="6"/>
  <c r="K566" i="6"/>
  <c r="I566" i="6"/>
  <c r="G567" i="6"/>
  <c r="H568" i="6"/>
  <c r="R570" i="6"/>
  <c r="Q569" i="6"/>
  <c r="V568" i="6"/>
  <c r="W568" i="6"/>
  <c r="Y568" i="6" s="1"/>
  <c r="T568" i="6"/>
  <c r="U568" i="6"/>
  <c r="S568" i="6"/>
  <c r="X568" i="6" s="1"/>
  <c r="M566" i="6" l="1"/>
  <c r="O566" i="6" s="1"/>
  <c r="L566" i="6"/>
  <c r="N565" i="6"/>
  <c r="H569" i="6"/>
  <c r="G568" i="6"/>
  <c r="K567" i="6"/>
  <c r="J567" i="6"/>
  <c r="L567" i="6" s="1"/>
  <c r="I567" i="6"/>
  <c r="S569" i="6"/>
  <c r="X569" i="6" s="1"/>
  <c r="W569" i="6"/>
  <c r="Y569" i="6" s="1"/>
  <c r="V569" i="6"/>
  <c r="T569" i="6"/>
  <c r="U569" i="6"/>
  <c r="R571" i="6"/>
  <c r="Q570" i="6"/>
  <c r="N566" i="6" l="1"/>
  <c r="M567" i="6"/>
  <c r="O567" i="6" s="1"/>
  <c r="J568" i="6"/>
  <c r="I568" i="6"/>
  <c r="K568" i="6"/>
  <c r="L568" i="6" s="1"/>
  <c r="G569" i="6"/>
  <c r="H570" i="6"/>
  <c r="U570" i="6"/>
  <c r="W570" i="6"/>
  <c r="Y570" i="6" s="1"/>
  <c r="S570" i="6"/>
  <c r="X570" i="6" s="1"/>
  <c r="T570" i="6"/>
  <c r="V570" i="6"/>
  <c r="Q571" i="6"/>
  <c r="R572" i="6"/>
  <c r="M568" i="6" l="1"/>
  <c r="O568" i="6" s="1"/>
  <c r="N568" i="6"/>
  <c r="N567" i="6"/>
  <c r="G570" i="6"/>
  <c r="H571" i="6"/>
  <c r="J569" i="6"/>
  <c r="K569" i="6"/>
  <c r="I569" i="6"/>
  <c r="L569" i="6"/>
  <c r="R573" i="6"/>
  <c r="Q572" i="6"/>
  <c r="T571" i="6"/>
  <c r="U571" i="6"/>
  <c r="W571" i="6"/>
  <c r="Y571" i="6" s="1"/>
  <c r="V571" i="6"/>
  <c r="S571" i="6"/>
  <c r="X571" i="6" s="1"/>
  <c r="M569" i="6" l="1"/>
  <c r="O569" i="6" s="1"/>
  <c r="N569" i="6"/>
  <c r="H572" i="6"/>
  <c r="G571" i="6"/>
  <c r="J570" i="6"/>
  <c r="I570" i="6"/>
  <c r="L570" i="6" s="1"/>
  <c r="K570" i="6"/>
  <c r="S572" i="6"/>
  <c r="X572" i="6" s="1"/>
  <c r="V572" i="6"/>
  <c r="W572" i="6"/>
  <c r="Y572" i="6" s="1"/>
  <c r="T572" i="6"/>
  <c r="U572" i="6"/>
  <c r="Q573" i="6"/>
  <c r="R574" i="6"/>
  <c r="M570" i="6" l="1"/>
  <c r="O570" i="6" s="1"/>
  <c r="J571" i="6"/>
  <c r="I571" i="6"/>
  <c r="K571" i="6"/>
  <c r="L571" i="6" s="1"/>
  <c r="G572" i="6"/>
  <c r="H573" i="6"/>
  <c r="V573" i="6"/>
  <c r="U573" i="6"/>
  <c r="S573" i="6"/>
  <c r="X573" i="6" s="1"/>
  <c r="T573" i="6"/>
  <c r="W573" i="6"/>
  <c r="Y573" i="6" s="1"/>
  <c r="R575" i="6"/>
  <c r="Q574" i="6"/>
  <c r="N570" i="6" l="1"/>
  <c r="N571" i="6"/>
  <c r="M571" i="6"/>
  <c r="O571" i="6" s="1"/>
  <c r="G573" i="6"/>
  <c r="H574" i="6"/>
  <c r="J572" i="6"/>
  <c r="K572" i="6"/>
  <c r="I572" i="6"/>
  <c r="L572" i="6"/>
  <c r="M572" i="6" s="1"/>
  <c r="S574" i="6"/>
  <c r="X574" i="6" s="1"/>
  <c r="V574" i="6"/>
  <c r="T574" i="6"/>
  <c r="U574" i="6"/>
  <c r="W574" i="6"/>
  <c r="Y574" i="6" s="1"/>
  <c r="R576" i="6"/>
  <c r="Q575" i="6"/>
  <c r="O572" i="6" l="1"/>
  <c r="N572" i="6"/>
  <c r="G574" i="6"/>
  <c r="H575" i="6"/>
  <c r="I573" i="6"/>
  <c r="K573" i="6"/>
  <c r="J573" i="6"/>
  <c r="L573" i="6" s="1"/>
  <c r="M573" i="6" s="1"/>
  <c r="V575" i="6"/>
  <c r="U575" i="6"/>
  <c r="W575" i="6"/>
  <c r="Y575" i="6" s="1"/>
  <c r="S575" i="6"/>
  <c r="X575" i="6" s="1"/>
  <c r="T575" i="6"/>
  <c r="Q576" i="6"/>
  <c r="R577" i="6"/>
  <c r="O573" i="6" l="1"/>
  <c r="N573" i="6"/>
  <c r="H576" i="6"/>
  <c r="G575" i="6"/>
  <c r="I574" i="6"/>
  <c r="K574" i="6"/>
  <c r="L574" i="6" s="1"/>
  <c r="M574" i="6" s="1"/>
  <c r="J574" i="6"/>
  <c r="R578" i="6"/>
  <c r="Q577" i="6"/>
  <c r="V576" i="6"/>
  <c r="S576" i="6"/>
  <c r="X576" i="6" s="1"/>
  <c r="W576" i="6"/>
  <c r="Y576" i="6" s="1"/>
  <c r="T576" i="6"/>
  <c r="U576" i="6"/>
  <c r="O574" i="6" l="1"/>
  <c r="N574" i="6"/>
  <c r="K575" i="6"/>
  <c r="I575" i="6"/>
  <c r="J575" i="6"/>
  <c r="L575" i="6" s="1"/>
  <c r="M575" i="6" s="1"/>
  <c r="G576" i="6"/>
  <c r="H577" i="6"/>
  <c r="S577" i="6"/>
  <c r="X577" i="6" s="1"/>
  <c r="V577" i="6"/>
  <c r="U577" i="6"/>
  <c r="T577" i="6"/>
  <c r="W577" i="6"/>
  <c r="Y577" i="6" s="1"/>
  <c r="R579" i="6"/>
  <c r="Q578" i="6"/>
  <c r="O575" i="6" l="1"/>
  <c r="N575" i="6"/>
  <c r="K576" i="6"/>
  <c r="I576" i="6"/>
  <c r="J576" i="6"/>
  <c r="L576" i="6" s="1"/>
  <c r="M576" i="6" s="1"/>
  <c r="O576" i="6" s="1"/>
  <c r="H578" i="6"/>
  <c r="G577" i="6"/>
  <c r="R580" i="6"/>
  <c r="Q579" i="6"/>
  <c r="T578" i="6"/>
  <c r="U578" i="6"/>
  <c r="W578" i="6"/>
  <c r="Y578" i="6" s="1"/>
  <c r="S578" i="6"/>
  <c r="X578" i="6" s="1"/>
  <c r="V578" i="6"/>
  <c r="N576" i="6" l="1"/>
  <c r="G578" i="6"/>
  <c r="H579" i="6"/>
  <c r="I577" i="6"/>
  <c r="J577" i="6"/>
  <c r="L577" i="6"/>
  <c r="M577" i="6" s="1"/>
  <c r="O577" i="6" s="1"/>
  <c r="K577" i="6"/>
  <c r="V579" i="6"/>
  <c r="U579" i="6"/>
  <c r="W579" i="6"/>
  <c r="Y579" i="6" s="1"/>
  <c r="S579" i="6"/>
  <c r="X579" i="6" s="1"/>
  <c r="T579" i="6"/>
  <c r="R581" i="6"/>
  <c r="Q580" i="6"/>
  <c r="N577" i="6" l="1"/>
  <c r="H580" i="6"/>
  <c r="G579" i="6"/>
  <c r="K578" i="6"/>
  <c r="J578" i="6"/>
  <c r="I578" i="6"/>
  <c r="V580" i="6"/>
  <c r="W580" i="6"/>
  <c r="Y580" i="6" s="1"/>
  <c r="U580" i="6"/>
  <c r="T580" i="6"/>
  <c r="S580" i="6"/>
  <c r="X580" i="6" s="1"/>
  <c r="Q581" i="6"/>
  <c r="R582" i="6"/>
  <c r="L578" i="6" l="1"/>
  <c r="M578" i="6" s="1"/>
  <c r="O578" i="6" s="1"/>
  <c r="K579" i="6"/>
  <c r="I579" i="6"/>
  <c r="J579" i="6"/>
  <c r="H581" i="6"/>
  <c r="G580" i="6"/>
  <c r="V581" i="6"/>
  <c r="U581" i="6"/>
  <c r="W581" i="6"/>
  <c r="Y581" i="6" s="1"/>
  <c r="S581" i="6"/>
  <c r="X581" i="6" s="1"/>
  <c r="T581" i="6"/>
  <c r="Q582" i="6"/>
  <c r="R583" i="6"/>
  <c r="M579" i="6" l="1"/>
  <c r="O579" i="6" s="1"/>
  <c r="L579" i="6"/>
  <c r="N578" i="6"/>
  <c r="I580" i="6"/>
  <c r="K580" i="6"/>
  <c r="J580" i="6"/>
  <c r="L580" i="6" s="1"/>
  <c r="G581" i="6"/>
  <c r="H582" i="6"/>
  <c r="U582" i="6"/>
  <c r="W582" i="6"/>
  <c r="Y582" i="6" s="1"/>
  <c r="V582" i="6"/>
  <c r="T582" i="6"/>
  <c r="S582" i="6"/>
  <c r="X582" i="6" s="1"/>
  <c r="Q583" i="6"/>
  <c r="R584" i="6"/>
  <c r="M580" i="6" l="1"/>
  <c r="O580" i="6" s="1"/>
  <c r="N579" i="6"/>
  <c r="I581" i="6"/>
  <c r="K581" i="6"/>
  <c r="J581" i="6"/>
  <c r="L581" i="6" s="1"/>
  <c r="H583" i="6"/>
  <c r="G582" i="6"/>
  <c r="Q584" i="6"/>
  <c r="R585" i="6"/>
  <c r="S583" i="6"/>
  <c r="X583" i="6" s="1"/>
  <c r="T583" i="6"/>
  <c r="U583" i="6"/>
  <c r="W583" i="6"/>
  <c r="Y583" i="6" s="1"/>
  <c r="V583" i="6"/>
  <c r="M581" i="6" l="1"/>
  <c r="O581" i="6" s="1"/>
  <c r="N581" i="6"/>
  <c r="N580" i="6"/>
  <c r="K582" i="6"/>
  <c r="J582" i="6"/>
  <c r="I582" i="6"/>
  <c r="G583" i="6"/>
  <c r="H584" i="6"/>
  <c r="U584" i="6"/>
  <c r="V584" i="6"/>
  <c r="T584" i="6"/>
  <c r="W584" i="6"/>
  <c r="Y584" i="6" s="1"/>
  <c r="S584" i="6"/>
  <c r="X584" i="6" s="1"/>
  <c r="Q585" i="6"/>
  <c r="R586" i="6"/>
  <c r="N582" i="6" l="1"/>
  <c r="M582" i="6"/>
  <c r="O582" i="6" s="1"/>
  <c r="L582" i="6"/>
  <c r="K583" i="6"/>
  <c r="I583" i="6"/>
  <c r="J583" i="6"/>
  <c r="L583" i="6" s="1"/>
  <c r="G584" i="6"/>
  <c r="H585" i="6"/>
  <c r="V585" i="6"/>
  <c r="S585" i="6"/>
  <c r="X585" i="6" s="1"/>
  <c r="T585" i="6"/>
  <c r="U585" i="6"/>
  <c r="W585" i="6"/>
  <c r="Y585" i="6" s="1"/>
  <c r="R587" i="6"/>
  <c r="Q586" i="6"/>
  <c r="M583" i="6" l="1"/>
  <c r="O583" i="6" s="1"/>
  <c r="N583" i="6"/>
  <c r="K584" i="6"/>
  <c r="J584" i="6"/>
  <c r="I584" i="6"/>
  <c r="H586" i="6"/>
  <c r="G585" i="6"/>
  <c r="Q587" i="6"/>
  <c r="R588" i="6"/>
  <c r="V586" i="6"/>
  <c r="T586" i="6"/>
  <c r="U586" i="6"/>
  <c r="W586" i="6"/>
  <c r="Y586" i="6" s="1"/>
  <c r="S586" i="6"/>
  <c r="X586" i="6" s="1"/>
  <c r="M584" i="6" l="1"/>
  <c r="O584" i="6" s="1"/>
  <c r="N584" i="6"/>
  <c r="L584" i="6"/>
  <c r="J585" i="6"/>
  <c r="K585" i="6"/>
  <c r="I585" i="6"/>
  <c r="H587" i="6"/>
  <c r="G586" i="6"/>
  <c r="R589" i="6"/>
  <c r="Q588" i="6"/>
  <c r="T587" i="6"/>
  <c r="V587" i="6"/>
  <c r="U587" i="6"/>
  <c r="W587" i="6"/>
  <c r="Y587" i="6" s="1"/>
  <c r="S587" i="6"/>
  <c r="X587" i="6" s="1"/>
  <c r="M585" i="6" l="1"/>
  <c r="O585" i="6" s="1"/>
  <c r="L585" i="6"/>
  <c r="H588" i="6"/>
  <c r="G587" i="6"/>
  <c r="I586" i="6"/>
  <c r="K586" i="6"/>
  <c r="J586" i="6"/>
  <c r="L586" i="6" s="1"/>
  <c r="W588" i="6"/>
  <c r="Y588" i="6" s="1"/>
  <c r="V588" i="6"/>
  <c r="T588" i="6"/>
  <c r="U588" i="6"/>
  <c r="S588" i="6"/>
  <c r="X588" i="6" s="1"/>
  <c r="Q589" i="6"/>
  <c r="R590" i="6"/>
  <c r="M586" i="6" l="1"/>
  <c r="O586" i="6" s="1"/>
  <c r="N586" i="6"/>
  <c r="N585" i="6"/>
  <c r="K587" i="6"/>
  <c r="I587" i="6"/>
  <c r="J587" i="6"/>
  <c r="L587" i="6" s="1"/>
  <c r="G588" i="6"/>
  <c r="H589" i="6"/>
  <c r="Q590" i="6"/>
  <c r="R591" i="6"/>
  <c r="U589" i="6"/>
  <c r="W589" i="6"/>
  <c r="Y589" i="6" s="1"/>
  <c r="V589" i="6"/>
  <c r="S589" i="6"/>
  <c r="X589" i="6" s="1"/>
  <c r="T589" i="6"/>
  <c r="M587" i="6" l="1"/>
  <c r="O587" i="6" s="1"/>
  <c r="N587" i="6"/>
  <c r="K588" i="6"/>
  <c r="J588" i="6"/>
  <c r="I588" i="6"/>
  <c r="L588" i="6"/>
  <c r="G589" i="6"/>
  <c r="H590" i="6"/>
  <c r="U590" i="6"/>
  <c r="W590" i="6"/>
  <c r="Y590" i="6" s="1"/>
  <c r="S590" i="6"/>
  <c r="X590" i="6" s="1"/>
  <c r="V590" i="6"/>
  <c r="T590" i="6"/>
  <c r="Q591" i="6"/>
  <c r="R592" i="6"/>
  <c r="M588" i="6" l="1"/>
  <c r="O588" i="6" s="1"/>
  <c r="N588" i="6"/>
  <c r="K589" i="6"/>
  <c r="I589" i="6"/>
  <c r="J589" i="6"/>
  <c r="L589" i="6"/>
  <c r="G590" i="6"/>
  <c r="H591" i="6"/>
  <c r="Q592" i="6"/>
  <c r="R593" i="6"/>
  <c r="T591" i="6"/>
  <c r="U591" i="6"/>
  <c r="W591" i="6"/>
  <c r="Y591" i="6" s="1"/>
  <c r="S591" i="6"/>
  <c r="X591" i="6" s="1"/>
  <c r="V591" i="6"/>
  <c r="M589" i="6" l="1"/>
  <c r="O589" i="6" s="1"/>
  <c r="G591" i="6"/>
  <c r="H592" i="6"/>
  <c r="I590" i="6"/>
  <c r="J590" i="6"/>
  <c r="L590" i="6" s="1"/>
  <c r="K590" i="6"/>
  <c r="Q593" i="6"/>
  <c r="R594" i="6"/>
  <c r="W592" i="6"/>
  <c r="Y592" i="6" s="1"/>
  <c r="S592" i="6"/>
  <c r="X592" i="6" s="1"/>
  <c r="T592" i="6"/>
  <c r="V592" i="6"/>
  <c r="U592" i="6"/>
  <c r="M590" i="6" l="1"/>
  <c r="O590" i="6" s="1"/>
  <c r="N589" i="6"/>
  <c r="G592" i="6"/>
  <c r="H593" i="6"/>
  <c r="I591" i="6"/>
  <c r="K591" i="6"/>
  <c r="J591" i="6"/>
  <c r="Q594" i="6"/>
  <c r="R595" i="6"/>
  <c r="V593" i="6"/>
  <c r="W593" i="6"/>
  <c r="Y593" i="6" s="1"/>
  <c r="S593" i="6"/>
  <c r="X593" i="6" s="1"/>
  <c r="T593" i="6"/>
  <c r="U593" i="6"/>
  <c r="L591" i="6" l="1"/>
  <c r="M591" i="6" s="1"/>
  <c r="O591" i="6" s="1"/>
  <c r="N590" i="6"/>
  <c r="H594" i="6"/>
  <c r="G593" i="6"/>
  <c r="I592" i="6"/>
  <c r="J592" i="6"/>
  <c r="L592" i="6" s="1"/>
  <c r="K592" i="6"/>
  <c r="R596" i="6"/>
  <c r="Q595" i="6"/>
  <c r="T594" i="6"/>
  <c r="S594" i="6"/>
  <c r="X594" i="6" s="1"/>
  <c r="W594" i="6"/>
  <c r="Y594" i="6" s="1"/>
  <c r="V594" i="6"/>
  <c r="U594" i="6"/>
  <c r="M592" i="6" l="1"/>
  <c r="O592" i="6" s="1"/>
  <c r="N591" i="6"/>
  <c r="J593" i="6"/>
  <c r="I593" i="6"/>
  <c r="L593" i="6"/>
  <c r="K593" i="6"/>
  <c r="H595" i="6"/>
  <c r="G594" i="6"/>
  <c r="V595" i="6"/>
  <c r="U595" i="6"/>
  <c r="W595" i="6"/>
  <c r="Y595" i="6" s="1"/>
  <c r="T595" i="6"/>
  <c r="S595" i="6"/>
  <c r="X595" i="6" s="1"/>
  <c r="R597" i="6"/>
  <c r="Q596" i="6"/>
  <c r="M593" i="6" l="1"/>
  <c r="O593" i="6" s="1"/>
  <c r="N593" i="6"/>
  <c r="N592" i="6"/>
  <c r="H596" i="6"/>
  <c r="G595" i="6"/>
  <c r="I594" i="6"/>
  <c r="J594" i="6"/>
  <c r="K594" i="6"/>
  <c r="Q597" i="6"/>
  <c r="R598" i="6"/>
  <c r="W596" i="6"/>
  <c r="Y596" i="6" s="1"/>
  <c r="U596" i="6"/>
  <c r="S596" i="6"/>
  <c r="X596" i="6" s="1"/>
  <c r="T596" i="6"/>
  <c r="V596" i="6"/>
  <c r="L594" i="6" l="1"/>
  <c r="M594" i="6" s="1"/>
  <c r="O594" i="6" s="1"/>
  <c r="K595" i="6"/>
  <c r="J595" i="6"/>
  <c r="I595" i="6"/>
  <c r="L595" i="6"/>
  <c r="G596" i="6"/>
  <c r="H597" i="6"/>
  <c r="S597" i="6"/>
  <c r="X597" i="6" s="1"/>
  <c r="T597" i="6"/>
  <c r="V597" i="6"/>
  <c r="W597" i="6"/>
  <c r="Y597" i="6" s="1"/>
  <c r="U597" i="6"/>
  <c r="R599" i="6"/>
  <c r="Q598" i="6"/>
  <c r="N594" i="6" l="1"/>
  <c r="M595" i="6"/>
  <c r="O595" i="6" s="1"/>
  <c r="G597" i="6"/>
  <c r="H598" i="6"/>
  <c r="K596" i="6"/>
  <c r="J596" i="6"/>
  <c r="I596" i="6"/>
  <c r="L596" i="6" s="1"/>
  <c r="Q599" i="6"/>
  <c r="R600" i="6"/>
  <c r="W598" i="6"/>
  <c r="Y598" i="6" s="1"/>
  <c r="U598" i="6"/>
  <c r="S598" i="6"/>
  <c r="X598" i="6" s="1"/>
  <c r="T598" i="6"/>
  <c r="V598" i="6"/>
  <c r="M596" i="6" l="1"/>
  <c r="O596" i="6" s="1"/>
  <c r="N596" i="6"/>
  <c r="N595" i="6"/>
  <c r="G598" i="6"/>
  <c r="H599" i="6"/>
  <c r="I597" i="6"/>
  <c r="J597" i="6"/>
  <c r="K597" i="6"/>
  <c r="V599" i="6"/>
  <c r="W599" i="6"/>
  <c r="Y599" i="6" s="1"/>
  <c r="S599" i="6"/>
  <c r="X599" i="6" s="1"/>
  <c r="T599" i="6"/>
  <c r="U599" i="6"/>
  <c r="Q600" i="6"/>
  <c r="R601" i="6"/>
  <c r="L597" i="6" l="1"/>
  <c r="M597" i="6" s="1"/>
  <c r="O597" i="6" s="1"/>
  <c r="G599" i="6"/>
  <c r="H600" i="6"/>
  <c r="K598" i="6"/>
  <c r="J598" i="6"/>
  <c r="I598" i="6"/>
  <c r="W600" i="6"/>
  <c r="Y600" i="6" s="1"/>
  <c r="V600" i="6"/>
  <c r="T600" i="6"/>
  <c r="S600" i="6"/>
  <c r="X600" i="6" s="1"/>
  <c r="U600" i="6"/>
  <c r="R602" i="6"/>
  <c r="Q601" i="6"/>
  <c r="N598" i="6" l="1"/>
  <c r="M598" i="6"/>
  <c r="O598" i="6" s="1"/>
  <c r="L598" i="6"/>
  <c r="N597" i="6"/>
  <c r="G600" i="6"/>
  <c r="H601" i="6"/>
  <c r="J599" i="6"/>
  <c r="I599" i="6"/>
  <c r="L599" i="6"/>
  <c r="K599" i="6"/>
  <c r="R603" i="6"/>
  <c r="Q602" i="6"/>
  <c r="U601" i="6"/>
  <c r="T601" i="6"/>
  <c r="V601" i="6"/>
  <c r="W601" i="6"/>
  <c r="Y601" i="6" s="1"/>
  <c r="S601" i="6"/>
  <c r="X601" i="6" s="1"/>
  <c r="M599" i="6" l="1"/>
  <c r="O599" i="6" s="1"/>
  <c r="G601" i="6"/>
  <c r="H602" i="6"/>
  <c r="I600" i="6"/>
  <c r="J600" i="6"/>
  <c r="L600" i="6" s="1"/>
  <c r="K600" i="6"/>
  <c r="V602" i="6"/>
  <c r="U602" i="6"/>
  <c r="T602" i="6"/>
  <c r="W602" i="6"/>
  <c r="Y602" i="6" s="1"/>
  <c r="S602" i="6"/>
  <c r="X602" i="6" s="1"/>
  <c r="Q603" i="6"/>
  <c r="R604" i="6"/>
  <c r="N599" i="6" l="1"/>
  <c r="M600" i="6"/>
  <c r="O600" i="6" s="1"/>
  <c r="H603" i="6"/>
  <c r="G602" i="6"/>
  <c r="I601" i="6"/>
  <c r="K601" i="6"/>
  <c r="J601" i="6"/>
  <c r="R605" i="6"/>
  <c r="Q604" i="6"/>
  <c r="W603" i="6"/>
  <c r="Y603" i="6" s="1"/>
  <c r="V603" i="6"/>
  <c r="T603" i="6"/>
  <c r="S603" i="6"/>
  <c r="X603" i="6" s="1"/>
  <c r="U603" i="6"/>
  <c r="L601" i="6" l="1"/>
  <c r="M601" i="6" s="1"/>
  <c r="N600" i="6"/>
  <c r="J602" i="6"/>
  <c r="K602" i="6"/>
  <c r="I602" i="6"/>
  <c r="H604" i="6"/>
  <c r="G603" i="6"/>
  <c r="Q605" i="6"/>
  <c r="R606" i="6"/>
  <c r="U604" i="6"/>
  <c r="S604" i="6"/>
  <c r="X604" i="6" s="1"/>
  <c r="T604" i="6"/>
  <c r="W604" i="6"/>
  <c r="Y604" i="6" s="1"/>
  <c r="V604" i="6"/>
  <c r="O601" i="6" l="1"/>
  <c r="M602" i="6"/>
  <c r="N601" i="6"/>
  <c r="L602" i="6"/>
  <c r="G604" i="6"/>
  <c r="H605" i="6"/>
  <c r="I603" i="6"/>
  <c r="K603" i="6"/>
  <c r="L603" i="6" s="1"/>
  <c r="J603" i="6"/>
  <c r="W605" i="6"/>
  <c r="Y605" i="6" s="1"/>
  <c r="U605" i="6"/>
  <c r="S605" i="6"/>
  <c r="X605" i="6" s="1"/>
  <c r="T605" i="6"/>
  <c r="V605" i="6"/>
  <c r="Q606" i="6"/>
  <c r="R607" i="6"/>
  <c r="O602" i="6" l="1"/>
  <c r="M603" i="6"/>
  <c r="N602" i="6"/>
  <c r="H606" i="6"/>
  <c r="G605" i="6"/>
  <c r="I604" i="6"/>
  <c r="K604" i="6"/>
  <c r="J604" i="6"/>
  <c r="L604" i="6"/>
  <c r="V606" i="6"/>
  <c r="T606" i="6"/>
  <c r="U606" i="6"/>
  <c r="W606" i="6"/>
  <c r="Y606" i="6" s="1"/>
  <c r="S606" i="6"/>
  <c r="X606" i="6" s="1"/>
  <c r="Q607" i="6"/>
  <c r="R608" i="6"/>
  <c r="O603" i="6" l="1"/>
  <c r="N603" i="6"/>
  <c r="N604" i="6"/>
  <c r="M604" i="6"/>
  <c r="I605" i="6"/>
  <c r="K605" i="6"/>
  <c r="J605" i="6"/>
  <c r="L605" i="6" s="1"/>
  <c r="M605" i="6" s="1"/>
  <c r="G606" i="6"/>
  <c r="H607" i="6"/>
  <c r="Q608" i="6"/>
  <c r="R609" i="6"/>
  <c r="V607" i="6"/>
  <c r="S607" i="6"/>
  <c r="X607" i="6" s="1"/>
  <c r="U607" i="6"/>
  <c r="W607" i="6"/>
  <c r="Y607" i="6" s="1"/>
  <c r="T607" i="6"/>
  <c r="O604" i="6" l="1"/>
  <c r="O605" i="6" s="1"/>
  <c r="N605" i="6"/>
  <c r="L606" i="6"/>
  <c r="M606" i="6" s="1"/>
  <c r="I606" i="6"/>
  <c r="K606" i="6"/>
  <c r="J606" i="6"/>
  <c r="G607" i="6"/>
  <c r="H608" i="6"/>
  <c r="V608" i="6"/>
  <c r="S608" i="6"/>
  <c r="X608" i="6" s="1"/>
  <c r="T608" i="6"/>
  <c r="U608" i="6"/>
  <c r="W608" i="6"/>
  <c r="Y608" i="6" s="1"/>
  <c r="R610" i="6"/>
  <c r="Q609" i="6"/>
  <c r="O606" i="6" l="1"/>
  <c r="N606" i="6"/>
  <c r="L607" i="6"/>
  <c r="M607" i="6" s="1"/>
  <c r="K607" i="6"/>
  <c r="I607" i="6"/>
  <c r="J607" i="6"/>
  <c r="H609" i="6"/>
  <c r="G608" i="6"/>
  <c r="R611" i="6"/>
  <c r="Q610" i="6"/>
  <c r="S609" i="6"/>
  <c r="X609" i="6" s="1"/>
  <c r="V609" i="6"/>
  <c r="W609" i="6"/>
  <c r="Y609" i="6" s="1"/>
  <c r="T609" i="6"/>
  <c r="U609" i="6"/>
  <c r="O607" i="6" l="1"/>
  <c r="N607" i="6"/>
  <c r="H610" i="6"/>
  <c r="G609" i="6"/>
  <c r="J608" i="6"/>
  <c r="K608" i="6"/>
  <c r="I608" i="6"/>
  <c r="V610" i="6"/>
  <c r="W610" i="6"/>
  <c r="Y610" i="6" s="1"/>
  <c r="T610" i="6"/>
  <c r="U610" i="6"/>
  <c r="S610" i="6"/>
  <c r="X610" i="6" s="1"/>
  <c r="R612" i="6"/>
  <c r="Q611" i="6"/>
  <c r="L608" i="6" l="1"/>
  <c r="M608" i="6" s="1"/>
  <c r="O608" i="6" s="1"/>
  <c r="K609" i="6"/>
  <c r="I609" i="6"/>
  <c r="J609" i="6"/>
  <c r="L609" i="6" s="1"/>
  <c r="H611" i="6"/>
  <c r="G610" i="6"/>
  <c r="Q612" i="6"/>
  <c r="R613" i="6"/>
  <c r="U611" i="6"/>
  <c r="V611" i="6"/>
  <c r="T611" i="6"/>
  <c r="W611" i="6"/>
  <c r="Y611" i="6" s="1"/>
  <c r="S611" i="6"/>
  <c r="X611" i="6" s="1"/>
  <c r="N608" i="6" l="1"/>
  <c r="N609" i="6"/>
  <c r="M609" i="6"/>
  <c r="O609" i="6" s="1"/>
  <c r="H612" i="6"/>
  <c r="G611" i="6"/>
  <c r="J610" i="6"/>
  <c r="K610" i="6"/>
  <c r="I610" i="6"/>
  <c r="L610" i="6" s="1"/>
  <c r="M610" i="6" s="1"/>
  <c r="Q613" i="6"/>
  <c r="R614" i="6"/>
  <c r="V612" i="6"/>
  <c r="T612" i="6"/>
  <c r="U612" i="6"/>
  <c r="W612" i="6"/>
  <c r="Y612" i="6" s="1"/>
  <c r="S612" i="6"/>
  <c r="X612" i="6" s="1"/>
  <c r="O610" i="6" l="1"/>
  <c r="N610" i="6"/>
  <c r="K611" i="6"/>
  <c r="J611" i="6"/>
  <c r="I611" i="6"/>
  <c r="G612" i="6"/>
  <c r="H613" i="6"/>
  <c r="Q614" i="6"/>
  <c r="R615" i="6"/>
  <c r="W613" i="6"/>
  <c r="Y613" i="6" s="1"/>
  <c r="S613" i="6"/>
  <c r="X613" i="6" s="1"/>
  <c r="T613" i="6"/>
  <c r="V613" i="6"/>
  <c r="U613" i="6"/>
  <c r="L611" i="6" l="1"/>
  <c r="M611" i="6" s="1"/>
  <c r="O611" i="6" s="1"/>
  <c r="H614" i="6"/>
  <c r="G613" i="6"/>
  <c r="J612" i="6"/>
  <c r="K612" i="6"/>
  <c r="I612" i="6"/>
  <c r="R616" i="6"/>
  <c r="Q615" i="6"/>
  <c r="U614" i="6"/>
  <c r="S614" i="6"/>
  <c r="X614" i="6" s="1"/>
  <c r="V614" i="6"/>
  <c r="W614" i="6"/>
  <c r="Y614" i="6" s="1"/>
  <c r="T614" i="6"/>
  <c r="M612" i="6" l="1"/>
  <c r="O612" i="6" s="1"/>
  <c r="N611" i="6"/>
  <c r="L612" i="6"/>
  <c r="I613" i="6"/>
  <c r="J613" i="6"/>
  <c r="K613" i="6"/>
  <c r="L613" i="6"/>
  <c r="H615" i="6"/>
  <c r="G614" i="6"/>
  <c r="S615" i="6"/>
  <c r="X615" i="6" s="1"/>
  <c r="U615" i="6"/>
  <c r="V615" i="6"/>
  <c r="T615" i="6"/>
  <c r="W615" i="6"/>
  <c r="Y615" i="6" s="1"/>
  <c r="Q616" i="6"/>
  <c r="R617" i="6"/>
  <c r="N612" i="6" l="1"/>
  <c r="M613" i="6"/>
  <c r="O613" i="6" s="1"/>
  <c r="K614" i="6"/>
  <c r="J614" i="6"/>
  <c r="I614" i="6"/>
  <c r="G615" i="6"/>
  <c r="H616" i="6"/>
  <c r="V616" i="6"/>
  <c r="S616" i="6"/>
  <c r="X616" i="6" s="1"/>
  <c r="U616" i="6"/>
  <c r="T616" i="6"/>
  <c r="W616" i="6"/>
  <c r="Y616" i="6" s="1"/>
  <c r="R618" i="6"/>
  <c r="Q617" i="6"/>
  <c r="M614" i="6" l="1"/>
  <c r="O614" i="6" s="1"/>
  <c r="N614" i="6"/>
  <c r="L614" i="6"/>
  <c r="N613" i="6"/>
  <c r="H617" i="6"/>
  <c r="G616" i="6"/>
  <c r="J615" i="6"/>
  <c r="K615" i="6"/>
  <c r="I615" i="6"/>
  <c r="L615" i="6"/>
  <c r="Q618" i="6"/>
  <c r="R619" i="6"/>
  <c r="V617" i="6"/>
  <c r="W617" i="6"/>
  <c r="Y617" i="6" s="1"/>
  <c r="S617" i="6"/>
  <c r="X617" i="6" s="1"/>
  <c r="T617" i="6"/>
  <c r="U617" i="6"/>
  <c r="M615" i="6" l="1"/>
  <c r="O615" i="6" s="1"/>
  <c r="K616" i="6"/>
  <c r="J616" i="6"/>
  <c r="I616" i="6"/>
  <c r="H618" i="6"/>
  <c r="G617" i="6"/>
  <c r="R620" i="6"/>
  <c r="Q619" i="6"/>
  <c r="S618" i="6"/>
  <c r="X618" i="6" s="1"/>
  <c r="U618" i="6"/>
  <c r="V618" i="6"/>
  <c r="W618" i="6"/>
  <c r="Y618" i="6" s="1"/>
  <c r="T618" i="6"/>
  <c r="N615" i="6" l="1"/>
  <c r="L616" i="6"/>
  <c r="M616" i="6" s="1"/>
  <c r="J617" i="6"/>
  <c r="K617" i="6"/>
  <c r="I617" i="6"/>
  <c r="L617" i="6" s="1"/>
  <c r="G618" i="6"/>
  <c r="H619" i="6"/>
  <c r="V619" i="6"/>
  <c r="S619" i="6"/>
  <c r="X619" i="6" s="1"/>
  <c r="T619" i="6"/>
  <c r="U619" i="6"/>
  <c r="W619" i="6"/>
  <c r="Y619" i="6" s="1"/>
  <c r="Q620" i="6"/>
  <c r="R621" i="6"/>
  <c r="O616" i="6" l="1"/>
  <c r="N616" i="6"/>
  <c r="M617" i="6"/>
  <c r="N617" i="6"/>
  <c r="K618" i="6"/>
  <c r="J618" i="6"/>
  <c r="I618" i="6"/>
  <c r="G619" i="6"/>
  <c r="H620" i="6"/>
  <c r="Q621" i="6"/>
  <c r="R622" i="6"/>
  <c r="W620" i="6"/>
  <c r="Y620" i="6" s="1"/>
  <c r="S620" i="6"/>
  <c r="X620" i="6" s="1"/>
  <c r="T620" i="6"/>
  <c r="V620" i="6"/>
  <c r="U620" i="6"/>
  <c r="L618" i="6" l="1"/>
  <c r="M618" i="6" s="1"/>
  <c r="O617" i="6"/>
  <c r="I619" i="6"/>
  <c r="J619" i="6"/>
  <c r="L619" i="6" s="1"/>
  <c r="K619" i="6"/>
  <c r="H621" i="6"/>
  <c r="G620" i="6"/>
  <c r="Q622" i="6"/>
  <c r="R623" i="6"/>
  <c r="V621" i="6"/>
  <c r="S621" i="6"/>
  <c r="X621" i="6" s="1"/>
  <c r="W621" i="6"/>
  <c r="Y621" i="6" s="1"/>
  <c r="T621" i="6"/>
  <c r="U621" i="6"/>
  <c r="O618" i="6" l="1"/>
  <c r="N618" i="6"/>
  <c r="M619" i="6"/>
  <c r="J620" i="6"/>
  <c r="K620" i="6"/>
  <c r="I620" i="6"/>
  <c r="H622" i="6"/>
  <c r="G621" i="6"/>
  <c r="Q623" i="6"/>
  <c r="R624" i="6"/>
  <c r="V622" i="6"/>
  <c r="S622" i="6"/>
  <c r="X622" i="6" s="1"/>
  <c r="U622" i="6"/>
  <c r="W622" i="6"/>
  <c r="Y622" i="6" s="1"/>
  <c r="T622" i="6"/>
  <c r="O619" i="6" l="1"/>
  <c r="M620" i="6"/>
  <c r="L620" i="6"/>
  <c r="N619" i="6"/>
  <c r="I621" i="6"/>
  <c r="J621" i="6"/>
  <c r="K621" i="6"/>
  <c r="G622" i="6"/>
  <c r="H623" i="6"/>
  <c r="Q624" i="6"/>
  <c r="R625" i="6"/>
  <c r="T623" i="6"/>
  <c r="U623" i="6"/>
  <c r="V623" i="6"/>
  <c r="W623" i="6"/>
  <c r="Y623" i="6" s="1"/>
  <c r="S623" i="6"/>
  <c r="X623" i="6" s="1"/>
  <c r="O620" i="6" l="1"/>
  <c r="N620" i="6"/>
  <c r="M621" i="6"/>
  <c r="L621" i="6"/>
  <c r="K622" i="6"/>
  <c r="I622" i="6"/>
  <c r="L622" i="6" s="1"/>
  <c r="J622" i="6"/>
  <c r="H624" i="6"/>
  <c r="G623" i="6"/>
  <c r="V624" i="6"/>
  <c r="S624" i="6"/>
  <c r="X624" i="6" s="1"/>
  <c r="T624" i="6"/>
  <c r="W624" i="6"/>
  <c r="Y624" i="6" s="1"/>
  <c r="U624" i="6"/>
  <c r="Q625" i="6"/>
  <c r="R626" i="6"/>
  <c r="O621" i="6" l="1"/>
  <c r="M622" i="6"/>
  <c r="N622" i="6"/>
  <c r="N621" i="6"/>
  <c r="K623" i="6"/>
  <c r="I623" i="6"/>
  <c r="J623" i="6"/>
  <c r="G624" i="6"/>
  <c r="H625" i="6"/>
  <c r="S625" i="6"/>
  <c r="X625" i="6" s="1"/>
  <c r="U625" i="6"/>
  <c r="T625" i="6"/>
  <c r="W625" i="6"/>
  <c r="Y625" i="6" s="1"/>
  <c r="V625" i="6"/>
  <c r="R627" i="6"/>
  <c r="Q626" i="6"/>
  <c r="O622" i="6" l="1"/>
  <c r="M623" i="6"/>
  <c r="N623" i="6"/>
  <c r="L623" i="6"/>
  <c r="G625" i="6"/>
  <c r="H626" i="6"/>
  <c r="I624" i="6"/>
  <c r="K624" i="6"/>
  <c r="J624" i="6"/>
  <c r="L624" i="6"/>
  <c r="Q627" i="6"/>
  <c r="R628" i="6"/>
  <c r="T626" i="6"/>
  <c r="U626" i="6"/>
  <c r="V626" i="6"/>
  <c r="W626" i="6"/>
  <c r="Y626" i="6" s="1"/>
  <c r="S626" i="6"/>
  <c r="X626" i="6" s="1"/>
  <c r="O623" i="6" l="1"/>
  <c r="M624" i="6"/>
  <c r="G626" i="6"/>
  <c r="H627" i="6"/>
  <c r="K625" i="6"/>
  <c r="I625" i="6"/>
  <c r="J625" i="6"/>
  <c r="L625" i="6" s="1"/>
  <c r="R629" i="6"/>
  <c r="Q628" i="6"/>
  <c r="U627" i="6"/>
  <c r="T627" i="6"/>
  <c r="V627" i="6"/>
  <c r="W627" i="6"/>
  <c r="Y627" i="6" s="1"/>
  <c r="S627" i="6"/>
  <c r="X627" i="6" s="1"/>
  <c r="O624" i="6" l="1"/>
  <c r="N625" i="6"/>
  <c r="N624" i="6"/>
  <c r="M625" i="6"/>
  <c r="G627" i="6"/>
  <c r="H628" i="6"/>
  <c r="K626" i="6"/>
  <c r="J626" i="6"/>
  <c r="I626" i="6"/>
  <c r="L626" i="6"/>
  <c r="M626" i="6" s="1"/>
  <c r="Q629" i="6"/>
  <c r="R630" i="6"/>
  <c r="T628" i="6"/>
  <c r="W628" i="6"/>
  <c r="Y628" i="6" s="1"/>
  <c r="S628" i="6"/>
  <c r="X628" i="6" s="1"/>
  <c r="U628" i="6"/>
  <c r="V628" i="6"/>
  <c r="O625" i="6" l="1"/>
  <c r="O626" i="6" s="1"/>
  <c r="N626" i="6"/>
  <c r="G628" i="6"/>
  <c r="H629" i="6"/>
  <c r="J627" i="6"/>
  <c r="I627" i="6"/>
  <c r="K627" i="6"/>
  <c r="L627" i="6" s="1"/>
  <c r="M627" i="6" s="1"/>
  <c r="Q630" i="6"/>
  <c r="R631" i="6"/>
  <c r="T629" i="6"/>
  <c r="U629" i="6"/>
  <c r="V629" i="6"/>
  <c r="S629" i="6"/>
  <c r="X629" i="6" s="1"/>
  <c r="W629" i="6"/>
  <c r="Y629" i="6" s="1"/>
  <c r="O627" i="6" l="1"/>
  <c r="N627" i="6"/>
  <c r="H630" i="6"/>
  <c r="G629" i="6"/>
  <c r="J628" i="6"/>
  <c r="I628" i="6"/>
  <c r="K628" i="6"/>
  <c r="Q631" i="6"/>
  <c r="R632" i="6"/>
  <c r="V630" i="6"/>
  <c r="W630" i="6"/>
  <c r="Y630" i="6" s="1"/>
  <c r="S630" i="6"/>
  <c r="X630" i="6" s="1"/>
  <c r="T630" i="6"/>
  <c r="U630" i="6"/>
  <c r="L628" i="6" l="1"/>
  <c r="M628" i="6" s="1"/>
  <c r="O628" i="6" s="1"/>
  <c r="I629" i="6"/>
  <c r="J629" i="6"/>
  <c r="L629" i="6" s="1"/>
  <c r="K629" i="6"/>
  <c r="H631" i="6"/>
  <c r="G630" i="6"/>
  <c r="Q632" i="6"/>
  <c r="R633" i="6"/>
  <c r="T631" i="6"/>
  <c r="U631" i="6"/>
  <c r="W631" i="6"/>
  <c r="Y631" i="6" s="1"/>
  <c r="V631" i="6"/>
  <c r="S631" i="6"/>
  <c r="X631" i="6" s="1"/>
  <c r="N628" i="6" l="1"/>
  <c r="M629" i="6"/>
  <c r="O629" i="6" s="1"/>
  <c r="N629" i="6"/>
  <c r="K630" i="6"/>
  <c r="J630" i="6"/>
  <c r="I630" i="6"/>
  <c r="G631" i="6"/>
  <c r="H632" i="6"/>
  <c r="Q633" i="6"/>
  <c r="R634" i="6"/>
  <c r="T632" i="6"/>
  <c r="U632" i="6"/>
  <c r="V632" i="6"/>
  <c r="W632" i="6"/>
  <c r="Y632" i="6" s="1"/>
  <c r="S632" i="6"/>
  <c r="X632" i="6" s="1"/>
  <c r="L630" i="6" l="1"/>
  <c r="M630" i="6" s="1"/>
  <c r="O630" i="6" s="1"/>
  <c r="H633" i="6"/>
  <c r="G632" i="6"/>
  <c r="I631" i="6"/>
  <c r="J631" i="6"/>
  <c r="K631" i="6"/>
  <c r="L631" i="6"/>
  <c r="Q634" i="6"/>
  <c r="R635" i="6"/>
  <c r="U633" i="6"/>
  <c r="V633" i="6"/>
  <c r="W633" i="6"/>
  <c r="Y633" i="6" s="1"/>
  <c r="T633" i="6"/>
  <c r="S633" i="6"/>
  <c r="X633" i="6" s="1"/>
  <c r="N630" i="6" l="1"/>
  <c r="N631" i="6"/>
  <c r="M631" i="6"/>
  <c r="O631" i="6" s="1"/>
  <c r="I632" i="6"/>
  <c r="K632" i="6"/>
  <c r="J632" i="6"/>
  <c r="L632" i="6" s="1"/>
  <c r="M632" i="6" s="1"/>
  <c r="G633" i="6"/>
  <c r="H634" i="6"/>
  <c r="W634" i="6"/>
  <c r="Y634" i="6" s="1"/>
  <c r="T634" i="6"/>
  <c r="V634" i="6"/>
  <c r="U634" i="6"/>
  <c r="S634" i="6"/>
  <c r="X634" i="6" s="1"/>
  <c r="Q635" i="6"/>
  <c r="R636" i="6"/>
  <c r="O632" i="6" l="1"/>
  <c r="N632" i="6"/>
  <c r="G634" i="6"/>
  <c r="H635" i="6"/>
  <c r="K633" i="6"/>
  <c r="I633" i="6"/>
  <c r="J633" i="6"/>
  <c r="U635" i="6"/>
  <c r="W635" i="6"/>
  <c r="Y635" i="6" s="1"/>
  <c r="V635" i="6"/>
  <c r="S635" i="6"/>
  <c r="X635" i="6" s="1"/>
  <c r="T635" i="6"/>
  <c r="R637" i="6"/>
  <c r="Q636" i="6"/>
  <c r="L633" i="6" l="1"/>
  <c r="M633" i="6" s="1"/>
  <c r="O633" i="6" s="1"/>
  <c r="H636" i="6"/>
  <c r="G635" i="6"/>
  <c r="J634" i="6"/>
  <c r="I634" i="6"/>
  <c r="K634" i="6"/>
  <c r="U636" i="6"/>
  <c r="W636" i="6"/>
  <c r="Y636" i="6" s="1"/>
  <c r="T636" i="6"/>
  <c r="V636" i="6"/>
  <c r="S636" i="6"/>
  <c r="X636" i="6" s="1"/>
  <c r="Q637" i="6"/>
  <c r="R638" i="6"/>
  <c r="N633" i="6" l="1"/>
  <c r="M634" i="6"/>
  <c r="O634" i="6" s="1"/>
  <c r="L634" i="6"/>
  <c r="K635" i="6"/>
  <c r="I635" i="6"/>
  <c r="L635" i="6" s="1"/>
  <c r="J635" i="6"/>
  <c r="G636" i="6"/>
  <c r="H637" i="6"/>
  <c r="W637" i="6"/>
  <c r="Y637" i="6" s="1"/>
  <c r="U637" i="6"/>
  <c r="V637" i="6"/>
  <c r="S637" i="6"/>
  <c r="X637" i="6" s="1"/>
  <c r="T637" i="6"/>
  <c r="Q638" i="6"/>
  <c r="R639" i="6"/>
  <c r="M635" i="6" l="1"/>
  <c r="O635" i="6" s="1"/>
  <c r="N634" i="6"/>
  <c r="I636" i="6"/>
  <c r="J636" i="6"/>
  <c r="L636" i="6"/>
  <c r="K636" i="6"/>
  <c r="H638" i="6"/>
  <c r="G637" i="6"/>
  <c r="Q639" i="6"/>
  <c r="R640" i="6"/>
  <c r="T638" i="6"/>
  <c r="U638" i="6"/>
  <c r="W638" i="6"/>
  <c r="Y638" i="6" s="1"/>
  <c r="S638" i="6"/>
  <c r="X638" i="6" s="1"/>
  <c r="V638" i="6"/>
  <c r="N635" i="6" l="1"/>
  <c r="M636" i="6"/>
  <c r="O636" i="6" s="1"/>
  <c r="G638" i="6"/>
  <c r="H639" i="6"/>
  <c r="J637" i="6"/>
  <c r="K637" i="6"/>
  <c r="I637" i="6"/>
  <c r="U639" i="6"/>
  <c r="S639" i="6"/>
  <c r="X639" i="6" s="1"/>
  <c r="V639" i="6"/>
  <c r="T639" i="6"/>
  <c r="W639" i="6"/>
  <c r="Y639" i="6" s="1"/>
  <c r="R641" i="6"/>
  <c r="Q640" i="6"/>
  <c r="M637" i="6" l="1"/>
  <c r="O637" i="6" s="1"/>
  <c r="L637" i="6"/>
  <c r="N636" i="6"/>
  <c r="G639" i="6"/>
  <c r="H640" i="6"/>
  <c r="I638" i="6"/>
  <c r="L638" i="6" s="1"/>
  <c r="J638" i="6"/>
  <c r="K638" i="6"/>
  <c r="Q641" i="6"/>
  <c r="R642" i="6"/>
  <c r="T640" i="6"/>
  <c r="V640" i="6"/>
  <c r="W640" i="6"/>
  <c r="Y640" i="6" s="1"/>
  <c r="U640" i="6"/>
  <c r="S640" i="6"/>
  <c r="X640" i="6" s="1"/>
  <c r="M638" i="6" l="1"/>
  <c r="O638" i="6" s="1"/>
  <c r="N638" i="6"/>
  <c r="N637" i="6"/>
  <c r="G640" i="6"/>
  <c r="H641" i="6"/>
  <c r="I639" i="6"/>
  <c r="L639" i="6" s="1"/>
  <c r="J639" i="6"/>
  <c r="K639" i="6"/>
  <c r="Q642" i="6"/>
  <c r="R643" i="6"/>
  <c r="V641" i="6"/>
  <c r="S641" i="6"/>
  <c r="X641" i="6" s="1"/>
  <c r="T641" i="6"/>
  <c r="U641" i="6"/>
  <c r="W641" i="6"/>
  <c r="Y641" i="6" s="1"/>
  <c r="M639" i="6" l="1"/>
  <c r="G641" i="6"/>
  <c r="H642" i="6"/>
  <c r="I640" i="6"/>
  <c r="K640" i="6"/>
  <c r="J640" i="6"/>
  <c r="L640" i="6" s="1"/>
  <c r="Q643" i="6"/>
  <c r="R644" i="6"/>
  <c r="V642" i="6"/>
  <c r="S642" i="6"/>
  <c r="X642" i="6" s="1"/>
  <c r="U642" i="6"/>
  <c r="W642" i="6"/>
  <c r="Y642" i="6" s="1"/>
  <c r="T642" i="6"/>
  <c r="O639" i="6" l="1"/>
  <c r="N639" i="6"/>
  <c r="M640" i="6"/>
  <c r="H643" i="6"/>
  <c r="G642" i="6"/>
  <c r="K641" i="6"/>
  <c r="J641" i="6"/>
  <c r="L641" i="6" s="1"/>
  <c r="M641" i="6" s="1"/>
  <c r="I641" i="6"/>
  <c r="R645" i="6"/>
  <c r="Q644" i="6"/>
  <c r="U643" i="6"/>
  <c r="S643" i="6"/>
  <c r="X643" i="6" s="1"/>
  <c r="T643" i="6"/>
  <c r="W643" i="6"/>
  <c r="Y643" i="6" s="1"/>
  <c r="V643" i="6"/>
  <c r="O640" i="6" l="1"/>
  <c r="O641" i="6" s="1"/>
  <c r="N641" i="6"/>
  <c r="N640" i="6"/>
  <c r="K642" i="6"/>
  <c r="I642" i="6"/>
  <c r="J642" i="6"/>
  <c r="H644" i="6"/>
  <c r="G643" i="6"/>
  <c r="V644" i="6"/>
  <c r="U644" i="6"/>
  <c r="S644" i="6"/>
  <c r="X644" i="6" s="1"/>
  <c r="T644" i="6"/>
  <c r="W644" i="6"/>
  <c r="Y644" i="6" s="1"/>
  <c r="R646" i="6"/>
  <c r="Q645" i="6"/>
  <c r="L642" i="6" l="1"/>
  <c r="M642" i="6" s="1"/>
  <c r="O642" i="6" s="1"/>
  <c r="H645" i="6"/>
  <c r="G644" i="6"/>
  <c r="J643" i="6"/>
  <c r="K643" i="6"/>
  <c r="I643" i="6"/>
  <c r="Q646" i="6"/>
  <c r="R647" i="6"/>
  <c r="U645" i="6"/>
  <c r="V645" i="6"/>
  <c r="W645" i="6"/>
  <c r="Y645" i="6" s="1"/>
  <c r="S645" i="6"/>
  <c r="X645" i="6" s="1"/>
  <c r="T645" i="6"/>
  <c r="N643" i="6" l="1"/>
  <c r="M643" i="6"/>
  <c r="O643" i="6" s="1"/>
  <c r="L643" i="6"/>
  <c r="N642" i="6"/>
  <c r="J644" i="6"/>
  <c r="K644" i="6"/>
  <c r="I644" i="6"/>
  <c r="L644" i="6" s="1"/>
  <c r="H646" i="6"/>
  <c r="G645" i="6"/>
  <c r="T646" i="6"/>
  <c r="U646" i="6"/>
  <c r="S646" i="6"/>
  <c r="X646" i="6" s="1"/>
  <c r="V646" i="6"/>
  <c r="W646" i="6"/>
  <c r="Y646" i="6" s="1"/>
  <c r="Q647" i="6"/>
  <c r="R648" i="6"/>
  <c r="M644" i="6" l="1"/>
  <c r="O644" i="6" s="1"/>
  <c r="K645" i="6"/>
  <c r="I645" i="6"/>
  <c r="J645" i="6"/>
  <c r="L645" i="6" s="1"/>
  <c r="H647" i="6"/>
  <c r="G646" i="6"/>
  <c r="V647" i="6"/>
  <c r="S647" i="6"/>
  <c r="X647" i="6" s="1"/>
  <c r="T647" i="6"/>
  <c r="W647" i="6"/>
  <c r="Y647" i="6" s="1"/>
  <c r="U647" i="6"/>
  <c r="Q648" i="6"/>
  <c r="R649" i="6"/>
  <c r="N644" i="6" l="1"/>
  <c r="M645" i="6"/>
  <c r="O645" i="6" s="1"/>
  <c r="J646" i="6"/>
  <c r="I646" i="6"/>
  <c r="L646" i="6"/>
  <c r="K646" i="6"/>
  <c r="H648" i="6"/>
  <c r="G647" i="6"/>
  <c r="S648" i="6"/>
  <c r="X648" i="6" s="1"/>
  <c r="T648" i="6"/>
  <c r="U648" i="6"/>
  <c r="V648" i="6"/>
  <c r="W648" i="6"/>
  <c r="Y648" i="6" s="1"/>
  <c r="Q649" i="6"/>
  <c r="R650" i="6"/>
  <c r="M646" i="6" l="1"/>
  <c r="O646" i="6" s="1"/>
  <c r="N646" i="6"/>
  <c r="N645" i="6"/>
  <c r="K647" i="6"/>
  <c r="I647" i="6"/>
  <c r="L647" i="6"/>
  <c r="J647" i="6"/>
  <c r="H649" i="6"/>
  <c r="G648" i="6"/>
  <c r="U649" i="6"/>
  <c r="T649" i="6"/>
  <c r="V649" i="6"/>
  <c r="W649" i="6"/>
  <c r="Y649" i="6" s="1"/>
  <c r="S649" i="6"/>
  <c r="X649" i="6" s="1"/>
  <c r="Q650" i="6"/>
  <c r="R651" i="6"/>
  <c r="M647" i="6" l="1"/>
  <c r="O647" i="6" s="1"/>
  <c r="N647" i="6"/>
  <c r="H650" i="6"/>
  <c r="G649" i="6"/>
  <c r="K648" i="6"/>
  <c r="I648" i="6"/>
  <c r="J648" i="6"/>
  <c r="Q651" i="6"/>
  <c r="R652" i="6"/>
  <c r="W650" i="6"/>
  <c r="Y650" i="6" s="1"/>
  <c r="T650" i="6"/>
  <c r="U650" i="6"/>
  <c r="V650" i="6"/>
  <c r="S650" i="6"/>
  <c r="X650" i="6" s="1"/>
  <c r="M648" i="6" l="1"/>
  <c r="O648" i="6" s="1"/>
  <c r="L648" i="6"/>
  <c r="J649" i="6"/>
  <c r="K649" i="6"/>
  <c r="I649" i="6"/>
  <c r="L649" i="6" s="1"/>
  <c r="H651" i="6"/>
  <c r="G650" i="6"/>
  <c r="U651" i="6"/>
  <c r="T651" i="6"/>
  <c r="V651" i="6"/>
  <c r="W651" i="6"/>
  <c r="Y651" i="6" s="1"/>
  <c r="S651" i="6"/>
  <c r="X651" i="6" s="1"/>
  <c r="R653" i="6"/>
  <c r="Q652" i="6"/>
  <c r="N648" i="6" l="1"/>
  <c r="N649" i="6"/>
  <c r="M649" i="6"/>
  <c r="O649" i="6" s="1"/>
  <c r="K650" i="6"/>
  <c r="I650" i="6"/>
  <c r="L650" i="6" s="1"/>
  <c r="M650" i="6" s="1"/>
  <c r="J650" i="6"/>
  <c r="G651" i="6"/>
  <c r="H652" i="6"/>
  <c r="Q653" i="6"/>
  <c r="R654" i="6"/>
  <c r="V652" i="6"/>
  <c r="S652" i="6"/>
  <c r="X652" i="6" s="1"/>
  <c r="W652" i="6"/>
  <c r="Y652" i="6" s="1"/>
  <c r="T652" i="6"/>
  <c r="U652" i="6"/>
  <c r="O650" i="6" l="1"/>
  <c r="N650" i="6"/>
  <c r="G652" i="6"/>
  <c r="H653" i="6"/>
  <c r="I651" i="6"/>
  <c r="K651" i="6"/>
  <c r="J651" i="6"/>
  <c r="L651" i="6" s="1"/>
  <c r="M651" i="6" s="1"/>
  <c r="Q654" i="6"/>
  <c r="R655" i="6"/>
  <c r="S653" i="6"/>
  <c r="X653" i="6" s="1"/>
  <c r="V653" i="6"/>
  <c r="T653" i="6"/>
  <c r="U653" i="6"/>
  <c r="W653" i="6"/>
  <c r="Y653" i="6" s="1"/>
  <c r="O651" i="6" l="1"/>
  <c r="N651" i="6"/>
  <c r="G653" i="6"/>
  <c r="H654" i="6"/>
  <c r="K652" i="6"/>
  <c r="J652" i="6"/>
  <c r="I652" i="6"/>
  <c r="L652" i="6" s="1"/>
  <c r="M652" i="6" s="1"/>
  <c r="Q655" i="6"/>
  <c r="R656" i="6"/>
  <c r="W654" i="6"/>
  <c r="Y654" i="6" s="1"/>
  <c r="U654" i="6"/>
  <c r="S654" i="6"/>
  <c r="X654" i="6" s="1"/>
  <c r="T654" i="6"/>
  <c r="V654" i="6"/>
  <c r="O652" i="6" l="1"/>
  <c r="N652" i="6"/>
  <c r="H655" i="6"/>
  <c r="G654" i="6"/>
  <c r="K653" i="6"/>
  <c r="J653" i="6"/>
  <c r="I653" i="6"/>
  <c r="Q656" i="6"/>
  <c r="R657" i="6"/>
  <c r="T655" i="6"/>
  <c r="U655" i="6"/>
  <c r="W655" i="6"/>
  <c r="Y655" i="6" s="1"/>
  <c r="S655" i="6"/>
  <c r="X655" i="6" s="1"/>
  <c r="V655" i="6"/>
  <c r="L653" i="6" l="1"/>
  <c r="M653" i="6" s="1"/>
  <c r="O653" i="6" s="1"/>
  <c r="K654" i="6"/>
  <c r="J654" i="6"/>
  <c r="I654" i="6"/>
  <c r="L654" i="6" s="1"/>
  <c r="G655" i="6"/>
  <c r="H656" i="6"/>
  <c r="Q657" i="6"/>
  <c r="R658" i="6"/>
  <c r="W656" i="6"/>
  <c r="Y656" i="6" s="1"/>
  <c r="S656" i="6"/>
  <c r="X656" i="6" s="1"/>
  <c r="T656" i="6"/>
  <c r="U656" i="6"/>
  <c r="V656" i="6"/>
  <c r="N653" i="6" l="1"/>
  <c r="M654" i="6"/>
  <c r="O654" i="6" s="1"/>
  <c r="H657" i="6"/>
  <c r="G656" i="6"/>
  <c r="I655" i="6"/>
  <c r="L655" i="6" s="1"/>
  <c r="J655" i="6"/>
  <c r="K655" i="6"/>
  <c r="Q658" i="6"/>
  <c r="R659" i="6"/>
  <c r="W657" i="6"/>
  <c r="Y657" i="6" s="1"/>
  <c r="S657" i="6"/>
  <c r="X657" i="6" s="1"/>
  <c r="T657" i="6"/>
  <c r="U657" i="6"/>
  <c r="V657" i="6"/>
  <c r="M655" i="6" l="1"/>
  <c r="O655" i="6" s="1"/>
  <c r="N654" i="6"/>
  <c r="J656" i="6"/>
  <c r="K656" i="6"/>
  <c r="I656" i="6"/>
  <c r="G657" i="6"/>
  <c r="H658" i="6"/>
  <c r="Q659" i="6"/>
  <c r="R660" i="6"/>
  <c r="V658" i="6"/>
  <c r="T658" i="6"/>
  <c r="U658" i="6"/>
  <c r="W658" i="6"/>
  <c r="Y658" i="6" s="1"/>
  <c r="S658" i="6"/>
  <c r="X658" i="6" s="1"/>
  <c r="N656" i="6" l="1"/>
  <c r="N655" i="6"/>
  <c r="L656" i="6"/>
  <c r="M656" i="6"/>
  <c r="O656" i="6" s="1"/>
  <c r="K657" i="6"/>
  <c r="I657" i="6"/>
  <c r="J657" i="6"/>
  <c r="L657" i="6"/>
  <c r="M657" i="6" s="1"/>
  <c r="H659" i="6"/>
  <c r="G658" i="6"/>
  <c r="T659" i="6"/>
  <c r="V659" i="6"/>
  <c r="U659" i="6"/>
  <c r="W659" i="6"/>
  <c r="Y659" i="6" s="1"/>
  <c r="S659" i="6"/>
  <c r="X659" i="6" s="1"/>
  <c r="Q660" i="6"/>
  <c r="R661" i="6"/>
  <c r="O657" i="6" l="1"/>
  <c r="N657" i="6"/>
  <c r="J658" i="6"/>
  <c r="K658" i="6"/>
  <c r="I658" i="6"/>
  <c r="L658" i="6" s="1"/>
  <c r="M658" i="6" s="1"/>
  <c r="G659" i="6"/>
  <c r="H660" i="6"/>
  <c r="T660" i="6"/>
  <c r="U660" i="6"/>
  <c r="V660" i="6"/>
  <c r="W660" i="6"/>
  <c r="Y660" i="6" s="1"/>
  <c r="S660" i="6"/>
  <c r="X660" i="6" s="1"/>
  <c r="Q661" i="6"/>
  <c r="R662" i="6"/>
  <c r="O658" i="6" l="1"/>
  <c r="N658" i="6"/>
  <c r="I659" i="6"/>
  <c r="K659" i="6"/>
  <c r="J659" i="6"/>
  <c r="H661" i="6"/>
  <c r="G660" i="6"/>
  <c r="V661" i="6"/>
  <c r="T661" i="6"/>
  <c r="S661" i="6"/>
  <c r="X661" i="6" s="1"/>
  <c r="W661" i="6"/>
  <c r="Y661" i="6" s="1"/>
  <c r="U661" i="6"/>
  <c r="Q662" i="6"/>
  <c r="R663" i="6"/>
  <c r="L659" i="6" l="1"/>
  <c r="M659" i="6" s="1"/>
  <c r="O659" i="6" s="1"/>
  <c r="G661" i="6"/>
  <c r="H662" i="6"/>
  <c r="J660" i="6"/>
  <c r="K660" i="6"/>
  <c r="I660" i="6"/>
  <c r="U662" i="6"/>
  <c r="V662" i="6"/>
  <c r="W662" i="6"/>
  <c r="Y662" i="6" s="1"/>
  <c r="S662" i="6"/>
  <c r="X662" i="6" s="1"/>
  <c r="T662" i="6"/>
  <c r="Q663" i="6"/>
  <c r="R664" i="6"/>
  <c r="L660" i="6" l="1"/>
  <c r="M660" i="6" s="1"/>
  <c r="N659" i="6"/>
  <c r="H663" i="6"/>
  <c r="G662" i="6"/>
  <c r="I661" i="6"/>
  <c r="J661" i="6"/>
  <c r="K661" i="6"/>
  <c r="L661" i="6" s="1"/>
  <c r="Q664" i="6"/>
  <c r="R665" i="6"/>
  <c r="U663" i="6"/>
  <c r="V663" i="6"/>
  <c r="S663" i="6"/>
  <c r="X663" i="6" s="1"/>
  <c r="W663" i="6"/>
  <c r="Y663" i="6" s="1"/>
  <c r="T663" i="6"/>
  <c r="O660" i="6" l="1"/>
  <c r="N660" i="6"/>
  <c r="M661" i="6"/>
  <c r="N661" i="6"/>
  <c r="J662" i="6"/>
  <c r="K662" i="6"/>
  <c r="I662" i="6"/>
  <c r="L662" i="6" s="1"/>
  <c r="M662" i="6" s="1"/>
  <c r="G663" i="6"/>
  <c r="H664" i="6"/>
  <c r="Q665" i="6"/>
  <c r="R666" i="6"/>
  <c r="T664" i="6"/>
  <c r="S664" i="6"/>
  <c r="X664" i="6" s="1"/>
  <c r="W664" i="6"/>
  <c r="Y664" i="6" s="1"/>
  <c r="U664" i="6"/>
  <c r="V664" i="6"/>
  <c r="N662" i="6" l="1"/>
  <c r="O661" i="6"/>
  <c r="O662" i="6" s="1"/>
  <c r="G664" i="6"/>
  <c r="H665" i="6"/>
  <c r="J663" i="6"/>
  <c r="K663" i="6"/>
  <c r="I663" i="6"/>
  <c r="W665" i="6"/>
  <c r="Y665" i="6" s="1"/>
  <c r="S665" i="6"/>
  <c r="X665" i="6" s="1"/>
  <c r="T665" i="6"/>
  <c r="U665" i="6"/>
  <c r="V665" i="6"/>
  <c r="R667" i="6"/>
  <c r="Q666" i="6"/>
  <c r="L663" i="6" l="1"/>
  <c r="M663" i="6" s="1"/>
  <c r="O663" i="6" s="1"/>
  <c r="H666" i="6"/>
  <c r="G665" i="6"/>
  <c r="J664" i="6"/>
  <c r="K664" i="6"/>
  <c r="I664" i="6"/>
  <c r="L664" i="6" s="1"/>
  <c r="Q667" i="6"/>
  <c r="R668" i="6"/>
  <c r="U666" i="6"/>
  <c r="V666" i="6"/>
  <c r="W666" i="6"/>
  <c r="Y666" i="6" s="1"/>
  <c r="S666" i="6"/>
  <c r="X666" i="6" s="1"/>
  <c r="T666" i="6"/>
  <c r="N663" i="6" l="1"/>
  <c r="M664" i="6"/>
  <c r="O664" i="6" s="1"/>
  <c r="J665" i="6"/>
  <c r="K665" i="6"/>
  <c r="L665" i="6"/>
  <c r="I665" i="6"/>
  <c r="G666" i="6"/>
  <c r="H667" i="6"/>
  <c r="S667" i="6"/>
  <c r="X667" i="6" s="1"/>
  <c r="T667" i="6"/>
  <c r="V667" i="6"/>
  <c r="U667" i="6"/>
  <c r="W667" i="6"/>
  <c r="Y667" i="6" s="1"/>
  <c r="R669" i="6"/>
  <c r="Q668" i="6"/>
  <c r="M665" i="6" l="1"/>
  <c r="O665" i="6" s="1"/>
  <c r="N664" i="6"/>
  <c r="J666" i="6"/>
  <c r="K666" i="6"/>
  <c r="I666" i="6"/>
  <c r="H668" i="6"/>
  <c r="G667" i="6"/>
  <c r="Q669" i="6"/>
  <c r="R670" i="6"/>
  <c r="T668" i="6"/>
  <c r="U668" i="6"/>
  <c r="V668" i="6"/>
  <c r="W668" i="6"/>
  <c r="Y668" i="6" s="1"/>
  <c r="S668" i="6"/>
  <c r="X668" i="6" s="1"/>
  <c r="N665" i="6" l="1"/>
  <c r="L666" i="6"/>
  <c r="M666" i="6" s="1"/>
  <c r="K667" i="6"/>
  <c r="J667" i="6"/>
  <c r="I667" i="6"/>
  <c r="L667" i="6" s="1"/>
  <c r="G668" i="6"/>
  <c r="H669" i="6"/>
  <c r="Q670" i="6"/>
  <c r="R671" i="6"/>
  <c r="S669" i="6"/>
  <c r="X669" i="6" s="1"/>
  <c r="T669" i="6"/>
  <c r="U669" i="6"/>
  <c r="V669" i="6"/>
  <c r="W669" i="6"/>
  <c r="Y669" i="6" s="1"/>
  <c r="O666" i="6" l="1"/>
  <c r="M667" i="6"/>
  <c r="N666" i="6"/>
  <c r="K668" i="6"/>
  <c r="J668" i="6"/>
  <c r="I668" i="6"/>
  <c r="L668" i="6"/>
  <c r="G669" i="6"/>
  <c r="H670" i="6"/>
  <c r="S670" i="6"/>
  <c r="X670" i="6" s="1"/>
  <c r="T670" i="6"/>
  <c r="U670" i="6"/>
  <c r="V670" i="6"/>
  <c r="W670" i="6"/>
  <c r="Y670" i="6" s="1"/>
  <c r="Q671" i="6"/>
  <c r="R672" i="6"/>
  <c r="O667" i="6" l="1"/>
  <c r="N668" i="6"/>
  <c r="N667" i="6"/>
  <c r="M668" i="6"/>
  <c r="J669" i="6"/>
  <c r="K669" i="6"/>
  <c r="I669" i="6"/>
  <c r="H671" i="6"/>
  <c r="G670" i="6"/>
  <c r="T671" i="6"/>
  <c r="U671" i="6"/>
  <c r="S671" i="6"/>
  <c r="X671" i="6" s="1"/>
  <c r="V671" i="6"/>
  <c r="W671" i="6"/>
  <c r="Y671" i="6" s="1"/>
  <c r="Q672" i="6"/>
  <c r="R673" i="6"/>
  <c r="O668" i="6" l="1"/>
  <c r="L669" i="6"/>
  <c r="M669" i="6" s="1"/>
  <c r="G671" i="6"/>
  <c r="H672" i="6"/>
  <c r="K670" i="6"/>
  <c r="I670" i="6"/>
  <c r="J670" i="6"/>
  <c r="S672" i="6"/>
  <c r="X672" i="6" s="1"/>
  <c r="T672" i="6"/>
  <c r="W672" i="6"/>
  <c r="Y672" i="6" s="1"/>
  <c r="U672" i="6"/>
  <c r="V672" i="6"/>
  <c r="Q673" i="6"/>
  <c r="R674" i="6"/>
  <c r="O669" i="6" l="1"/>
  <c r="N669" i="6"/>
  <c r="L670" i="6"/>
  <c r="M670" i="6" s="1"/>
  <c r="G672" i="6"/>
  <c r="H673" i="6"/>
  <c r="J671" i="6"/>
  <c r="I671" i="6"/>
  <c r="K671" i="6"/>
  <c r="V673" i="6"/>
  <c r="T673" i="6"/>
  <c r="W673" i="6"/>
  <c r="Y673" i="6" s="1"/>
  <c r="S673" i="6"/>
  <c r="X673" i="6" s="1"/>
  <c r="U673" i="6"/>
  <c r="R675" i="6"/>
  <c r="Q674" i="6"/>
  <c r="O670" i="6" l="1"/>
  <c r="M671" i="6"/>
  <c r="N670" i="6"/>
  <c r="L671" i="6"/>
  <c r="H674" i="6"/>
  <c r="G673" i="6"/>
  <c r="J672" i="6"/>
  <c r="L672" i="6" s="1"/>
  <c r="K672" i="6"/>
  <c r="I672" i="6"/>
  <c r="S674" i="6"/>
  <c r="X674" i="6" s="1"/>
  <c r="T674" i="6"/>
  <c r="U674" i="6"/>
  <c r="V674" i="6"/>
  <c r="W674" i="6"/>
  <c r="Y674" i="6" s="1"/>
  <c r="Q675" i="6"/>
  <c r="R676" i="6"/>
  <c r="M672" i="6" l="1"/>
  <c r="O671" i="6"/>
  <c r="N671" i="6"/>
  <c r="K673" i="6"/>
  <c r="I673" i="6"/>
  <c r="J673" i="6"/>
  <c r="G674" i="6"/>
  <c r="H675" i="6"/>
  <c r="R677" i="6"/>
  <c r="Q676" i="6"/>
  <c r="S675" i="6"/>
  <c r="X675" i="6" s="1"/>
  <c r="T675" i="6"/>
  <c r="U675" i="6"/>
  <c r="V675" i="6"/>
  <c r="W675" i="6"/>
  <c r="Y675" i="6" s="1"/>
  <c r="M673" i="6" l="1"/>
  <c r="N673" i="6"/>
  <c r="O672" i="6"/>
  <c r="L673" i="6"/>
  <c r="N672" i="6"/>
  <c r="H676" i="6"/>
  <c r="G675" i="6"/>
  <c r="K674" i="6"/>
  <c r="J674" i="6"/>
  <c r="I674" i="6"/>
  <c r="S676" i="6"/>
  <c r="X676" i="6" s="1"/>
  <c r="U676" i="6"/>
  <c r="W676" i="6"/>
  <c r="Y676" i="6" s="1"/>
  <c r="V676" i="6"/>
  <c r="T676" i="6"/>
  <c r="Q677" i="6"/>
  <c r="R678" i="6"/>
  <c r="O673" i="6" l="1"/>
  <c r="M674" i="6"/>
  <c r="N674" i="6"/>
  <c r="L674" i="6"/>
  <c r="I675" i="6"/>
  <c r="J675" i="6"/>
  <c r="L675" i="6" s="1"/>
  <c r="K675" i="6"/>
  <c r="G676" i="6"/>
  <c r="H677" i="6"/>
  <c r="W677" i="6"/>
  <c r="Y677" i="6" s="1"/>
  <c r="T677" i="6"/>
  <c r="S677" i="6"/>
  <c r="X677" i="6" s="1"/>
  <c r="U677" i="6"/>
  <c r="V677" i="6"/>
  <c r="Q678" i="6"/>
  <c r="R679" i="6"/>
  <c r="O674" i="6" l="1"/>
  <c r="M675" i="6"/>
  <c r="K676" i="6"/>
  <c r="I676" i="6"/>
  <c r="J676" i="6"/>
  <c r="G677" i="6"/>
  <c r="H678" i="6"/>
  <c r="U678" i="6"/>
  <c r="T678" i="6"/>
  <c r="V678" i="6"/>
  <c r="W678" i="6"/>
  <c r="Y678" i="6" s="1"/>
  <c r="S678" i="6"/>
  <c r="X678" i="6" s="1"/>
  <c r="Q679" i="6"/>
  <c r="R680" i="6"/>
  <c r="O675" i="6" l="1"/>
  <c r="N675" i="6"/>
  <c r="N676" i="6"/>
  <c r="L676" i="6"/>
  <c r="M676" i="6"/>
  <c r="G678" i="6"/>
  <c r="H679" i="6"/>
  <c r="J677" i="6"/>
  <c r="I677" i="6"/>
  <c r="K677" i="6"/>
  <c r="W679" i="6"/>
  <c r="Y679" i="6" s="1"/>
  <c r="S679" i="6"/>
  <c r="X679" i="6" s="1"/>
  <c r="T679" i="6"/>
  <c r="V679" i="6"/>
  <c r="U679" i="6"/>
  <c r="Q680" i="6"/>
  <c r="R681" i="6"/>
  <c r="O676" i="6" l="1"/>
  <c r="L677" i="6"/>
  <c r="M677" i="6" s="1"/>
  <c r="H680" i="6"/>
  <c r="G679" i="6"/>
  <c r="I678" i="6"/>
  <c r="J678" i="6"/>
  <c r="K678" i="6"/>
  <c r="T680" i="6"/>
  <c r="W680" i="6"/>
  <c r="Y680" i="6" s="1"/>
  <c r="U680" i="6"/>
  <c r="V680" i="6"/>
  <c r="S680" i="6"/>
  <c r="X680" i="6" s="1"/>
  <c r="R682" i="6"/>
  <c r="Q681" i="6"/>
  <c r="O677" i="6" l="1"/>
  <c r="M678" i="6"/>
  <c r="N677" i="6"/>
  <c r="L678" i="6"/>
  <c r="I679" i="6"/>
  <c r="K679" i="6"/>
  <c r="J679" i="6"/>
  <c r="L679" i="6" s="1"/>
  <c r="G680" i="6"/>
  <c r="H681" i="6"/>
  <c r="Q682" i="6"/>
  <c r="R683" i="6"/>
  <c r="T681" i="6"/>
  <c r="V681" i="6"/>
  <c r="S681" i="6"/>
  <c r="X681" i="6" s="1"/>
  <c r="U681" i="6"/>
  <c r="W681" i="6"/>
  <c r="Y681" i="6" s="1"/>
  <c r="O678" i="6" l="1"/>
  <c r="M679" i="6"/>
  <c r="N678" i="6"/>
  <c r="H682" i="6"/>
  <c r="G681" i="6"/>
  <c r="K680" i="6"/>
  <c r="L680" i="6"/>
  <c r="M680" i="6" s="1"/>
  <c r="J680" i="6"/>
  <c r="I680" i="6"/>
  <c r="Q683" i="6"/>
  <c r="R684" i="6"/>
  <c r="V682" i="6"/>
  <c r="T682" i="6"/>
  <c r="U682" i="6"/>
  <c r="W682" i="6"/>
  <c r="Y682" i="6" s="1"/>
  <c r="S682" i="6"/>
  <c r="X682" i="6" s="1"/>
  <c r="O679" i="6" l="1"/>
  <c r="O680" i="6" s="1"/>
  <c r="N680" i="6"/>
  <c r="N679" i="6"/>
  <c r="I681" i="6"/>
  <c r="J681" i="6"/>
  <c r="K681" i="6"/>
  <c r="H683" i="6"/>
  <c r="G682" i="6"/>
  <c r="Q684" i="6"/>
  <c r="R685" i="6"/>
  <c r="T683" i="6"/>
  <c r="U683" i="6"/>
  <c r="V683" i="6"/>
  <c r="W683" i="6"/>
  <c r="Y683" i="6" s="1"/>
  <c r="S683" i="6"/>
  <c r="X683" i="6" s="1"/>
  <c r="L681" i="6" l="1"/>
  <c r="M681" i="6" s="1"/>
  <c r="O681" i="6" s="1"/>
  <c r="K682" i="6"/>
  <c r="J682" i="6"/>
  <c r="I682" i="6"/>
  <c r="H684" i="6"/>
  <c r="G683" i="6"/>
  <c r="Q685" i="6"/>
  <c r="R686" i="6"/>
  <c r="V684" i="6"/>
  <c r="S684" i="6"/>
  <c r="X684" i="6" s="1"/>
  <c r="T684" i="6"/>
  <c r="U684" i="6"/>
  <c r="W684" i="6"/>
  <c r="Y684" i="6" s="1"/>
  <c r="M682" i="6" l="1"/>
  <c r="O682" i="6" s="1"/>
  <c r="L682" i="6"/>
  <c r="N681" i="6"/>
  <c r="I683" i="6"/>
  <c r="J683" i="6"/>
  <c r="L683" i="6" s="1"/>
  <c r="K683" i="6"/>
  <c r="H685" i="6"/>
  <c r="G684" i="6"/>
  <c r="T685" i="6"/>
  <c r="U685" i="6"/>
  <c r="V685" i="6"/>
  <c r="W685" i="6"/>
  <c r="Y685" i="6" s="1"/>
  <c r="S685" i="6"/>
  <c r="X685" i="6" s="1"/>
  <c r="Q686" i="6"/>
  <c r="R687" i="6"/>
  <c r="M683" i="6" l="1"/>
  <c r="O683" i="6" s="1"/>
  <c r="N683" i="6"/>
  <c r="N682" i="6"/>
  <c r="G685" i="6"/>
  <c r="H686" i="6"/>
  <c r="J684" i="6"/>
  <c r="K684" i="6"/>
  <c r="I684" i="6"/>
  <c r="L684" i="6" s="1"/>
  <c r="S686" i="6"/>
  <c r="X686" i="6" s="1"/>
  <c r="V686" i="6"/>
  <c r="W686" i="6"/>
  <c r="Y686" i="6" s="1"/>
  <c r="T686" i="6"/>
  <c r="U686" i="6"/>
  <c r="Q687" i="6"/>
  <c r="R688" i="6"/>
  <c r="M684" i="6" l="1"/>
  <c r="O684" i="6" s="1"/>
  <c r="H687" i="6"/>
  <c r="G686" i="6"/>
  <c r="K685" i="6"/>
  <c r="I685" i="6"/>
  <c r="J685" i="6"/>
  <c r="W687" i="6"/>
  <c r="Y687" i="6" s="1"/>
  <c r="T687" i="6"/>
  <c r="S687" i="6"/>
  <c r="X687" i="6" s="1"/>
  <c r="U687" i="6"/>
  <c r="V687" i="6"/>
  <c r="Q688" i="6"/>
  <c r="R689" i="6"/>
  <c r="M685" i="6" l="1"/>
  <c r="O685" i="6" s="1"/>
  <c r="N685" i="6"/>
  <c r="N684" i="6"/>
  <c r="L685" i="6"/>
  <c r="K686" i="6"/>
  <c r="J686" i="6"/>
  <c r="I686" i="6"/>
  <c r="G687" i="6"/>
  <c r="H688" i="6"/>
  <c r="U688" i="6"/>
  <c r="T688" i="6"/>
  <c r="V688" i="6"/>
  <c r="W688" i="6"/>
  <c r="Y688" i="6" s="1"/>
  <c r="S688" i="6"/>
  <c r="X688" i="6" s="1"/>
  <c r="Q689" i="6"/>
  <c r="R690" i="6"/>
  <c r="M686" i="6" l="1"/>
  <c r="O686" i="6" s="1"/>
  <c r="N686" i="6"/>
  <c r="L686" i="6"/>
  <c r="I687" i="6"/>
  <c r="K687" i="6"/>
  <c r="J687" i="6"/>
  <c r="G688" i="6"/>
  <c r="H689" i="6"/>
  <c r="S689" i="6"/>
  <c r="X689" i="6" s="1"/>
  <c r="U689" i="6"/>
  <c r="V689" i="6"/>
  <c r="W689" i="6"/>
  <c r="Y689" i="6" s="1"/>
  <c r="T689" i="6"/>
  <c r="R691" i="6"/>
  <c r="Q690" i="6"/>
  <c r="L687" i="6" l="1"/>
  <c r="M687" i="6" s="1"/>
  <c r="H690" i="6"/>
  <c r="G689" i="6"/>
  <c r="I688" i="6"/>
  <c r="J688" i="6"/>
  <c r="K688" i="6"/>
  <c r="Q691" i="6"/>
  <c r="R692" i="6"/>
  <c r="V690" i="6"/>
  <c r="W690" i="6"/>
  <c r="Y690" i="6" s="1"/>
  <c r="S690" i="6"/>
  <c r="X690" i="6" s="1"/>
  <c r="T690" i="6"/>
  <c r="U690" i="6"/>
  <c r="O687" i="6" l="1"/>
  <c r="N687" i="6"/>
  <c r="L688" i="6"/>
  <c r="M688" i="6" s="1"/>
  <c r="I689" i="6"/>
  <c r="J689" i="6"/>
  <c r="K689" i="6"/>
  <c r="L689" i="6"/>
  <c r="G690" i="6"/>
  <c r="H691" i="6"/>
  <c r="R693" i="6"/>
  <c r="Q692" i="6"/>
  <c r="V691" i="6"/>
  <c r="T691" i="6"/>
  <c r="W691" i="6"/>
  <c r="Y691" i="6" s="1"/>
  <c r="U691" i="6"/>
  <c r="S691" i="6"/>
  <c r="X691" i="6" s="1"/>
  <c r="O688" i="6" l="1"/>
  <c r="N688" i="6"/>
  <c r="M689" i="6"/>
  <c r="N689" i="6"/>
  <c r="H692" i="6"/>
  <c r="G691" i="6"/>
  <c r="I690" i="6"/>
  <c r="L690" i="6" s="1"/>
  <c r="M690" i="6" s="1"/>
  <c r="J690" i="6"/>
  <c r="K690" i="6"/>
  <c r="Q693" i="6"/>
  <c r="R694" i="6"/>
  <c r="V692" i="6"/>
  <c r="S692" i="6"/>
  <c r="X692" i="6" s="1"/>
  <c r="W692" i="6"/>
  <c r="Y692" i="6" s="1"/>
  <c r="T692" i="6"/>
  <c r="U692" i="6"/>
  <c r="N690" i="6" l="1"/>
  <c r="O689" i="6"/>
  <c r="O690" i="6" s="1"/>
  <c r="I691" i="6"/>
  <c r="J691" i="6"/>
  <c r="L691" i="6" s="1"/>
  <c r="M691" i="6" s="1"/>
  <c r="K691" i="6"/>
  <c r="H693" i="6"/>
  <c r="G692" i="6"/>
  <c r="Q694" i="6"/>
  <c r="R695" i="6"/>
  <c r="S693" i="6"/>
  <c r="X693" i="6" s="1"/>
  <c r="T693" i="6"/>
  <c r="U693" i="6"/>
  <c r="V693" i="6"/>
  <c r="W693" i="6"/>
  <c r="Y693" i="6" s="1"/>
  <c r="O691" i="6" l="1"/>
  <c r="N691" i="6"/>
  <c r="H694" i="6"/>
  <c r="G693" i="6"/>
  <c r="I692" i="6"/>
  <c r="J692" i="6"/>
  <c r="K692" i="6"/>
  <c r="L692" i="6" s="1"/>
  <c r="M692" i="6" s="1"/>
  <c r="T694" i="6"/>
  <c r="S694" i="6"/>
  <c r="X694" i="6" s="1"/>
  <c r="W694" i="6"/>
  <c r="Y694" i="6" s="1"/>
  <c r="U694" i="6"/>
  <c r="V694" i="6"/>
  <c r="Q695" i="6"/>
  <c r="R696" i="6"/>
  <c r="O692" i="6" l="1"/>
  <c r="N692" i="6"/>
  <c r="L693" i="6"/>
  <c r="M693" i="6" s="1"/>
  <c r="I693" i="6"/>
  <c r="K693" i="6"/>
  <c r="J693" i="6"/>
  <c r="G694" i="6"/>
  <c r="H695" i="6"/>
  <c r="Q696" i="6"/>
  <c r="R697" i="6"/>
  <c r="T695" i="6"/>
  <c r="W695" i="6"/>
  <c r="Y695" i="6" s="1"/>
  <c r="U695" i="6"/>
  <c r="S695" i="6"/>
  <c r="X695" i="6" s="1"/>
  <c r="V695" i="6"/>
  <c r="O693" i="6" l="1"/>
  <c r="N693" i="6"/>
  <c r="H696" i="6"/>
  <c r="G695" i="6"/>
  <c r="J694" i="6"/>
  <c r="K694" i="6"/>
  <c r="L694" i="6"/>
  <c r="M694" i="6" s="1"/>
  <c r="I694" i="6"/>
  <c r="S696" i="6"/>
  <c r="X696" i="6" s="1"/>
  <c r="W696" i="6"/>
  <c r="Y696" i="6" s="1"/>
  <c r="V696" i="6"/>
  <c r="T696" i="6"/>
  <c r="U696" i="6"/>
  <c r="Q697" i="6"/>
  <c r="R698" i="6"/>
  <c r="O694" i="6" l="1"/>
  <c r="N694" i="6"/>
  <c r="K695" i="6"/>
  <c r="I695" i="6"/>
  <c r="J695" i="6"/>
  <c r="G696" i="6"/>
  <c r="H697" i="6"/>
  <c r="V697" i="6"/>
  <c r="S697" i="6"/>
  <c r="X697" i="6" s="1"/>
  <c r="U697" i="6"/>
  <c r="W697" i="6"/>
  <c r="Y697" i="6" s="1"/>
  <c r="T697" i="6"/>
  <c r="Q698" i="6"/>
  <c r="R699" i="6"/>
  <c r="L695" i="6" l="1"/>
  <c r="M695" i="6" s="1"/>
  <c r="O695" i="6" s="1"/>
  <c r="J696" i="6"/>
  <c r="I696" i="6"/>
  <c r="K696" i="6"/>
  <c r="L696" i="6" s="1"/>
  <c r="G697" i="6"/>
  <c r="H698" i="6"/>
  <c r="U698" i="6"/>
  <c r="V698" i="6"/>
  <c r="T698" i="6"/>
  <c r="W698" i="6"/>
  <c r="Y698" i="6" s="1"/>
  <c r="S698" i="6"/>
  <c r="X698" i="6" s="1"/>
  <c r="Q699" i="6"/>
  <c r="R700" i="6"/>
  <c r="N695" i="6" l="1"/>
  <c r="N696" i="6"/>
  <c r="M696" i="6"/>
  <c r="O696" i="6" s="1"/>
  <c r="J697" i="6"/>
  <c r="K697" i="6"/>
  <c r="I697" i="6"/>
  <c r="H699" i="6"/>
  <c r="G698" i="6"/>
  <c r="T699" i="6"/>
  <c r="V699" i="6"/>
  <c r="U699" i="6"/>
  <c r="W699" i="6"/>
  <c r="Y699" i="6" s="1"/>
  <c r="S699" i="6"/>
  <c r="X699" i="6" s="1"/>
  <c r="Q700" i="6"/>
  <c r="R701" i="6"/>
  <c r="N697" i="6" l="1"/>
  <c r="L697" i="6"/>
  <c r="M697" i="6" s="1"/>
  <c r="O697" i="6" s="1"/>
  <c r="K698" i="6"/>
  <c r="I698" i="6"/>
  <c r="J698" i="6"/>
  <c r="L698" i="6" s="1"/>
  <c r="M698" i="6" s="1"/>
  <c r="H700" i="6"/>
  <c r="G699" i="6"/>
  <c r="U700" i="6"/>
  <c r="W700" i="6"/>
  <c r="Y700" i="6" s="1"/>
  <c r="S700" i="6"/>
  <c r="X700" i="6" s="1"/>
  <c r="V700" i="6"/>
  <c r="T700" i="6"/>
  <c r="Q701" i="6"/>
  <c r="R702" i="6"/>
  <c r="O698" i="6" l="1"/>
  <c r="N698" i="6"/>
  <c r="I699" i="6"/>
  <c r="J699" i="6"/>
  <c r="K699" i="6"/>
  <c r="G700" i="6"/>
  <c r="H701" i="6"/>
  <c r="Q702" i="6"/>
  <c r="R703" i="6"/>
  <c r="V701" i="6"/>
  <c r="T701" i="6"/>
  <c r="U701" i="6"/>
  <c r="W701" i="6"/>
  <c r="Y701" i="6" s="1"/>
  <c r="S701" i="6"/>
  <c r="X701" i="6" s="1"/>
  <c r="L699" i="6" l="1"/>
  <c r="M699" i="6" s="1"/>
  <c r="O699" i="6" s="1"/>
  <c r="G701" i="6"/>
  <c r="H702" i="6"/>
  <c r="K700" i="6"/>
  <c r="J700" i="6"/>
  <c r="I700" i="6"/>
  <c r="W702" i="6"/>
  <c r="Y702" i="6" s="1"/>
  <c r="S702" i="6"/>
  <c r="X702" i="6" s="1"/>
  <c r="U702" i="6"/>
  <c r="V702" i="6"/>
  <c r="T702" i="6"/>
  <c r="Q703" i="6"/>
  <c r="R704" i="6"/>
  <c r="N699" i="6" l="1"/>
  <c r="L700" i="6"/>
  <c r="M700" i="6" s="1"/>
  <c r="H703" i="6"/>
  <c r="G702" i="6"/>
  <c r="K701" i="6"/>
  <c r="I701" i="6"/>
  <c r="L701" i="6"/>
  <c r="J701" i="6"/>
  <c r="R705" i="6"/>
  <c r="Q704" i="6"/>
  <c r="S703" i="6"/>
  <c r="X703" i="6" s="1"/>
  <c r="V703" i="6"/>
  <c r="T703" i="6"/>
  <c r="U703" i="6"/>
  <c r="W703" i="6"/>
  <c r="Y703" i="6" s="1"/>
  <c r="O700" i="6" l="1"/>
  <c r="M701" i="6"/>
  <c r="N700" i="6"/>
  <c r="J702" i="6"/>
  <c r="K702" i="6"/>
  <c r="I702" i="6"/>
  <c r="L702" i="6" s="1"/>
  <c r="H704" i="6"/>
  <c r="G703" i="6"/>
  <c r="R706" i="6"/>
  <c r="Q705" i="6"/>
  <c r="U704" i="6"/>
  <c r="W704" i="6"/>
  <c r="Y704" i="6" s="1"/>
  <c r="V704" i="6"/>
  <c r="S704" i="6"/>
  <c r="X704" i="6" s="1"/>
  <c r="T704" i="6"/>
  <c r="O701" i="6" l="1"/>
  <c r="N702" i="6"/>
  <c r="N701" i="6"/>
  <c r="M702" i="6"/>
  <c r="G704" i="6"/>
  <c r="H705" i="6"/>
  <c r="J703" i="6"/>
  <c r="I703" i="6"/>
  <c r="K703" i="6"/>
  <c r="L703" i="6"/>
  <c r="M703" i="6"/>
  <c r="T705" i="6"/>
  <c r="V705" i="6"/>
  <c r="U705" i="6"/>
  <c r="W705" i="6"/>
  <c r="Y705" i="6" s="1"/>
  <c r="S705" i="6"/>
  <c r="X705" i="6" s="1"/>
  <c r="Q706" i="6"/>
  <c r="R707" i="6"/>
  <c r="O702" i="6" l="1"/>
  <c r="O703" i="6" s="1"/>
  <c r="N703" i="6"/>
  <c r="H706" i="6"/>
  <c r="G705" i="6"/>
  <c r="I704" i="6"/>
  <c r="K704" i="6"/>
  <c r="L704" i="6"/>
  <c r="M704" i="6" s="1"/>
  <c r="J704" i="6"/>
  <c r="R708" i="6"/>
  <c r="Q707" i="6"/>
  <c r="W706" i="6"/>
  <c r="Y706" i="6" s="1"/>
  <c r="U706" i="6"/>
  <c r="V706" i="6"/>
  <c r="S706" i="6"/>
  <c r="X706" i="6" s="1"/>
  <c r="T706" i="6"/>
  <c r="O704" i="6" l="1"/>
  <c r="N704" i="6"/>
  <c r="L705" i="6"/>
  <c r="M705" i="6" s="1"/>
  <c r="J705" i="6"/>
  <c r="K705" i="6"/>
  <c r="I705" i="6"/>
  <c r="H707" i="6"/>
  <c r="G706" i="6"/>
  <c r="Q708" i="6"/>
  <c r="R709" i="6"/>
  <c r="T707" i="6"/>
  <c r="W707" i="6"/>
  <c r="Y707" i="6" s="1"/>
  <c r="V707" i="6"/>
  <c r="S707" i="6"/>
  <c r="X707" i="6" s="1"/>
  <c r="U707" i="6"/>
  <c r="O705" i="6" l="1"/>
  <c r="N705" i="6"/>
  <c r="G707" i="6"/>
  <c r="H708" i="6"/>
  <c r="K706" i="6"/>
  <c r="J706" i="6"/>
  <c r="I706" i="6"/>
  <c r="L706" i="6" s="1"/>
  <c r="M706" i="6" s="1"/>
  <c r="R710" i="6"/>
  <c r="Q710" i="6" s="1"/>
  <c r="Q709" i="6"/>
  <c r="T708" i="6"/>
  <c r="V708" i="6"/>
  <c r="U708" i="6"/>
  <c r="S708" i="6"/>
  <c r="X708" i="6" s="1"/>
  <c r="W708" i="6"/>
  <c r="Y708" i="6" s="1"/>
  <c r="O706" i="6" l="1"/>
  <c r="N706" i="6"/>
  <c r="G708" i="6"/>
  <c r="H709" i="6"/>
  <c r="I707" i="6"/>
  <c r="K707" i="6"/>
  <c r="L707" i="6" s="1"/>
  <c r="M707" i="6" s="1"/>
  <c r="J707" i="6"/>
  <c r="T709" i="6"/>
  <c r="S709" i="6"/>
  <c r="X709" i="6" s="1"/>
  <c r="V709" i="6"/>
  <c r="W709" i="6"/>
  <c r="Y709" i="6" s="1"/>
  <c r="U709" i="6"/>
  <c r="S710" i="6"/>
  <c r="X710" i="6" s="1"/>
  <c r="X6" i="6" s="1"/>
  <c r="C21" i="6" s="1"/>
  <c r="U710" i="6"/>
  <c r="V710" i="6"/>
  <c r="T710" i="6"/>
  <c r="W710" i="6"/>
  <c r="O707" i="6" l="1"/>
  <c r="N707" i="6"/>
  <c r="G709" i="6"/>
  <c r="H710" i="6"/>
  <c r="G710" i="6" s="1"/>
  <c r="I708" i="6"/>
  <c r="K708" i="6"/>
  <c r="J708" i="6"/>
  <c r="L708" i="6" s="1"/>
  <c r="M708" i="6" s="1"/>
  <c r="Y710" i="6"/>
  <c r="Y6" i="6" s="1"/>
  <c r="O708" i="6" l="1"/>
  <c r="N708" i="6"/>
  <c r="K710" i="6"/>
  <c r="J710" i="6"/>
  <c r="I710" i="6"/>
  <c r="L710" i="6" s="1"/>
  <c r="K709" i="6"/>
  <c r="I709" i="6"/>
  <c r="J709" i="6"/>
  <c r="L709" i="6" l="1"/>
  <c r="M709" i="6" s="1"/>
  <c r="N709" i="6" s="1"/>
  <c r="C25" i="6"/>
  <c r="O709" i="6" l="1"/>
  <c r="M710" i="6"/>
  <c r="N710" i="6" s="1"/>
  <c r="N6" i="6" s="1"/>
  <c r="C20" i="6" s="1"/>
  <c r="D25" i="6" s="1"/>
  <c r="F34" i="4" s="1"/>
  <c r="E118" i="1"/>
  <c r="E93" i="4" s="1"/>
  <c r="E34" i="4"/>
  <c r="O710" i="6" l="1"/>
  <c r="O6" i="6" s="1"/>
  <c r="E25" i="6" s="1"/>
  <c r="G34" i="4" l="1"/>
  <c r="F118" i="1"/>
  <c r="F93" i="4" s="1"/>
</calcChain>
</file>

<file path=xl/comments1.xml><?xml version="1.0" encoding="utf-8"?>
<comments xmlns="http://schemas.openxmlformats.org/spreadsheetml/2006/main">
  <authors>
    <author>Pedro Femia</author>
    <author>Pedro</author>
  </authors>
  <commentList>
    <comment ref="AC6" authorId="0" shapeId="0">
      <text>
        <r>
          <rPr>
            <b/>
            <sz val="8"/>
            <color indexed="81"/>
            <rFont val="Tahoma"/>
            <family val="2"/>
          </rPr>
          <t xml:space="preserve">Mostrar columnas para ver cálculos
</t>
        </r>
      </text>
    </comment>
    <comment ref="D17" authorId="1" shapeId="0">
      <text>
        <r>
          <rPr>
            <b/>
            <sz val="8"/>
            <color indexed="81"/>
            <rFont val="Tahoma"/>
            <family val="2"/>
          </rPr>
          <t xml:space="preserve">1=Tipe I 
2=tipe II
</t>
        </r>
      </text>
    </comment>
    <comment ref="I17" authorId="1" shapeId="0">
      <text>
        <r>
          <rPr>
            <b/>
            <sz val="8"/>
            <color indexed="81"/>
            <rFont val="Tahoma"/>
            <family val="2"/>
          </rPr>
          <t>0 = No
1 = Yes</t>
        </r>
      </text>
    </comment>
    <comment ref="D18" authorId="1" shapeId="0">
      <text>
        <r>
          <rPr>
            <b/>
            <sz val="8"/>
            <color indexed="81"/>
            <rFont val="Tahoma"/>
            <family val="2"/>
          </rPr>
          <t xml:space="preserve">0 = No
1 = Yes
</t>
        </r>
      </text>
    </comment>
    <comment ref="D19" authorId="1" shapeId="0">
      <text>
        <r>
          <rPr>
            <b/>
            <sz val="8"/>
            <color indexed="81"/>
            <rFont val="Tahoma"/>
            <family val="2"/>
          </rPr>
          <t>0    = Asymptotic "Normal" (cases 2.1 and 2.2)
0.5 = Asymptotic "nomal" (case 2.1)
1    = Asymptotic "Extra"
Otro = ERROR</t>
        </r>
      </text>
    </comment>
  </commentList>
</comments>
</file>

<file path=xl/sharedStrings.xml><?xml version="1.0" encoding="utf-8"?>
<sst xmlns="http://schemas.openxmlformats.org/spreadsheetml/2006/main" count="853" uniqueCount="578">
  <si>
    <t>Problema:</t>
  </si>
  <si>
    <t>Respuesta</t>
  </si>
  <si>
    <t>Factor</t>
  </si>
  <si>
    <t>% por filas</t>
  </si>
  <si>
    <t>% por  columnas</t>
  </si>
  <si>
    <t>% totales</t>
  </si>
  <si>
    <t>*</t>
  </si>
  <si>
    <t>P</t>
  </si>
  <si>
    <t xml:space="preserve"> -- Estudio transversal</t>
  </si>
  <si>
    <t xml:space="preserve"> -- Estudio prospectivo</t>
  </si>
  <si>
    <t xml:space="preserve"> -- Estudio retrospectivo</t>
  </si>
  <si>
    <t xml:space="preserve"> -- Correccion de Yates</t>
  </si>
  <si>
    <t>Medidas de asociación</t>
  </si>
  <si>
    <t>Diferencia de Berkson</t>
  </si>
  <si>
    <t>IC (R) =</t>
  </si>
  <si>
    <t>Riesgo relativo</t>
  </si>
  <si>
    <t>&gt;</t>
  </si>
  <si>
    <t>cola</t>
  </si>
  <si>
    <t>Cálculos:</t>
  </si>
  <si>
    <t>IC (O) =</t>
  </si>
  <si>
    <t>SPSS</t>
  </si>
  <si>
    <t>O' =</t>
  </si>
  <si>
    <t>Ln O =</t>
  </si>
  <si>
    <t>Ln O´=</t>
  </si>
  <si>
    <t>Riesgo atribuible</t>
  </si>
  <si>
    <t>Rb =</t>
  </si>
  <si>
    <t xml:space="preserve">IC (Rb) = </t>
  </si>
  <si>
    <t>Ln (1-Rb) =</t>
  </si>
  <si>
    <t>ET[Ln(1-Rb)]=</t>
  </si>
  <si>
    <t>IC (Ln 1-Rb) =</t>
  </si>
  <si>
    <t>IC (1-Rb) =</t>
  </si>
  <si>
    <t>{}</t>
  </si>
  <si>
    <t>R =</t>
  </si>
  <si>
    <t>( = O )</t>
  </si>
  <si>
    <t>( = O' )         &gt;</t>
  </si>
  <si>
    <t>IC (Ln R) =</t>
  </si>
  <si>
    <t>Ln ( 1-Rb ) =</t>
  </si>
  <si>
    <t>Informe resumido</t>
  </si>
  <si>
    <t># Frecuencias observadas:</t>
  </si>
  <si>
    <t>Total</t>
  </si>
  <si>
    <t># Test</t>
  </si>
  <si>
    <t>X2 (1gl)</t>
  </si>
  <si>
    <t>Min Frec. Esp.</t>
  </si>
  <si>
    <t>X2 con cpc</t>
  </si>
  <si>
    <t>X2 sin cpc</t>
  </si>
  <si>
    <t># Medidas:</t>
  </si>
  <si>
    <t>valor</t>
  </si>
  <si>
    <t>Sin corregir O → O' (= SPSS )</t>
  </si>
  <si>
    <t>O=</t>
  </si>
  <si>
    <t>Cola</t>
  </si>
  <si>
    <t>OR</t>
  </si>
  <si>
    <t>IC-(O)</t>
  </si>
  <si>
    <t>R(atribuible)</t>
  </si>
  <si>
    <t>IC+(O)</t>
  </si>
  <si>
    <r>
      <t>Nivel de Confianza (1-</t>
    </r>
    <r>
      <rPr>
        <b/>
        <i/>
        <sz val="10"/>
        <rFont val="Symbol"/>
        <family val="1"/>
        <charset val="2"/>
      </rPr>
      <t>a</t>
    </r>
    <r>
      <rPr>
        <b/>
        <sz val="10"/>
        <rFont val="Symbol"/>
        <family val="1"/>
        <charset val="2"/>
      </rPr>
      <t>)</t>
    </r>
    <r>
      <rPr>
        <b/>
        <i/>
        <sz val="10"/>
        <rFont val="Symbol"/>
        <family val="1"/>
        <charset val="2"/>
      </rPr>
      <t>=</t>
    </r>
  </si>
  <si>
    <r>
      <t>Razón de producto cruzado (</t>
    </r>
    <r>
      <rPr>
        <b/>
        <i/>
        <sz val="10"/>
        <rFont val="Arial"/>
        <family val="2"/>
      </rPr>
      <t>Odds Ratio</t>
    </r>
    <r>
      <rPr>
        <b/>
        <sz val="10"/>
        <rFont val="Arial"/>
        <family val="2"/>
      </rPr>
      <t>)</t>
    </r>
  </si>
  <si>
    <r>
      <t>S</t>
    </r>
    <r>
      <rPr>
        <b/>
        <sz val="8"/>
        <rFont val="Arial"/>
        <family val="2"/>
      </rPr>
      <t xml:space="preserve">B </t>
    </r>
    <r>
      <rPr>
        <b/>
        <sz val="10"/>
        <rFont val="Arial"/>
        <family val="2"/>
      </rPr>
      <t>=</t>
    </r>
  </si>
  <si>
    <r>
      <t>S</t>
    </r>
    <r>
      <rPr>
        <b/>
        <sz val="8"/>
        <rFont val="Arial"/>
        <family val="2"/>
      </rPr>
      <t>|B</t>
    </r>
    <r>
      <rPr>
        <b/>
        <sz val="10"/>
        <rFont val="Arial"/>
        <family val="2"/>
      </rPr>
      <t>=</t>
    </r>
  </si>
  <si>
    <t>Datos</t>
  </si>
  <si>
    <t>pfemia@ugr.es</t>
  </si>
  <si>
    <t>-</t>
  </si>
  <si>
    <t/>
  </si>
  <si>
    <t>UTILIDADES ESTADÍSTICAS</t>
  </si>
  <si>
    <t>Bioestadística</t>
  </si>
  <si>
    <t>©</t>
  </si>
  <si>
    <t>web</t>
  </si>
  <si>
    <t>Pedro Femia Marzo</t>
  </si>
  <si>
    <t>Universidad de Granada</t>
  </si>
  <si>
    <t>Método</t>
  </si>
  <si>
    <t>Referencias</t>
  </si>
  <si>
    <t>Tablas 2x2 Test chi cuadrado y medidas de asociación</t>
  </si>
  <si>
    <t>modalidades</t>
  </si>
  <si>
    <t>Tipo de estudio</t>
  </si>
  <si>
    <t>(T/P/R)</t>
  </si>
  <si>
    <r>
      <t xml:space="preserve"> Z</t>
    </r>
    <r>
      <rPr>
        <i/>
        <sz val="8.5"/>
        <rFont val="Symbol"/>
        <family val="1"/>
        <charset val="2"/>
      </rPr>
      <t>a</t>
    </r>
    <r>
      <rPr>
        <i/>
        <sz val="10"/>
        <rFont val="Symbol"/>
        <family val="1"/>
        <charset val="2"/>
      </rPr>
      <t xml:space="preserve"> =</t>
    </r>
  </si>
  <si>
    <t>Significación</t>
  </si>
  <si>
    <t xml:space="preserve"> -- Sin cpc</t>
  </si>
  <si>
    <t>Estadístico</t>
  </si>
  <si>
    <t xml:space="preserve">    Situación</t>
  </si>
  <si>
    <t>Facultad de Medicina - Universidad de Granada</t>
  </si>
  <si>
    <r>
      <t>Nivel de Confianza (1-</t>
    </r>
    <r>
      <rPr>
        <b/>
        <sz val="10"/>
        <rFont val="Symbol"/>
        <family val="1"/>
        <charset val="2"/>
      </rPr>
      <t>a</t>
    </r>
    <r>
      <rPr>
        <b/>
        <sz val="10"/>
        <rFont val="Arial"/>
        <family val="2"/>
      </rPr>
      <t>)%=</t>
    </r>
  </si>
  <si>
    <r>
      <t>c</t>
    </r>
    <r>
      <rPr>
        <sz val="10"/>
        <rFont val="Arial"/>
        <family val="2"/>
      </rPr>
      <t>² con cpc</t>
    </r>
  </si>
  <si>
    <r>
      <t>c</t>
    </r>
    <r>
      <rPr>
        <sz val="10"/>
        <rFont val="Arial"/>
        <family val="2"/>
      </rPr>
      <t>² sin cpc</t>
    </r>
  </si>
  <si>
    <r>
      <t>c</t>
    </r>
    <r>
      <rPr>
        <sz val="10"/>
        <rFont val="Arial"/>
        <family val="2"/>
      </rPr>
      <t>²  (1gl)</t>
    </r>
  </si>
  <si>
    <t>Lim Inf</t>
  </si>
  <si>
    <t>Lim sup</t>
  </si>
  <si>
    <t>Aproximación a los riesgos relativo y atribuible en estudios retrospectivos en caso de que la prevalencia sea menor al 10%</t>
  </si>
  <si>
    <t>Retrospectivo</t>
  </si>
  <si>
    <t>Prospectivo</t>
  </si>
  <si>
    <t>Transversal</t>
  </si>
  <si>
    <t>cpc</t>
  </si>
  <si>
    <t>SE</t>
  </si>
  <si>
    <t>Za^2 / 4</t>
  </si>
  <si>
    <t>clasica</t>
  </si>
  <si>
    <t>d+SE(h)</t>
  </si>
  <si>
    <t>d(h)+SE(h)</t>
  </si>
  <si>
    <t>Estimador</t>
  </si>
  <si>
    <t>h=</t>
  </si>
  <si>
    <t>clásica</t>
  </si>
  <si>
    <t>Raiz</t>
  </si>
  <si>
    <t>za Raiz</t>
  </si>
  <si>
    <t>Puntual</t>
  </si>
  <si>
    <t>R/(1-z..)</t>
  </si>
  <si>
    <t>Oij +h</t>
  </si>
  <si>
    <t>Oij+h</t>
  </si>
  <si>
    <t>1/(Oi+h)</t>
  </si>
  <si>
    <t>Woolf</t>
  </si>
  <si>
    <t>M&amp;A</t>
  </si>
  <si>
    <t>Katz</t>
  </si>
  <si>
    <t>R'</t>
  </si>
  <si>
    <t>Cvalidez</t>
  </si>
  <si>
    <t>Tipo I</t>
  </si>
  <si>
    <t>Tipo II</t>
  </si>
  <si>
    <t>(1=T; 2=P; 3=R)</t>
  </si>
  <si>
    <t>CALCULOS</t>
  </si>
  <si>
    <r>
      <t xml:space="preserve">E = </t>
    </r>
    <r>
      <rPr>
        <sz val="10"/>
        <rFont val="Arial"/>
        <family val="2"/>
      </rPr>
      <t>min(E</t>
    </r>
    <r>
      <rPr>
        <sz val="8"/>
        <rFont val="Arial"/>
        <family val="2"/>
      </rPr>
      <t>ij</t>
    </r>
    <r>
      <rPr>
        <sz val="10"/>
        <rFont val="Arial"/>
        <family val="2"/>
      </rPr>
      <t>) =</t>
    </r>
  </si>
  <si>
    <r>
      <t>d</t>
    </r>
    <r>
      <rPr>
        <b/>
        <sz val="10"/>
        <rFont val="Arial"/>
        <family val="2"/>
      </rPr>
      <t xml:space="preserve">  </t>
    </r>
  </si>
  <si>
    <t>R</t>
  </si>
  <si>
    <t>Ascendente</t>
  </si>
  <si>
    <t>Descendente</t>
  </si>
  <si>
    <t>hasta &gt;&gt;</t>
  </si>
  <si>
    <t>x1</t>
  </si>
  <si>
    <t>y1</t>
  </si>
  <si>
    <t>x2</t>
  </si>
  <si>
    <t>y2</t>
  </si>
  <si>
    <t>P(x1)</t>
  </si>
  <si>
    <t>P(x1) Recursiva</t>
  </si>
  <si>
    <t>min (x1)</t>
  </si>
  <si>
    <t>r</t>
  </si>
  <si>
    <t>max (x1)</t>
  </si>
  <si>
    <t>s</t>
  </si>
  <si>
    <t>E(x1)</t>
  </si>
  <si>
    <t>Lateralidad</t>
  </si>
  <si>
    <t>Num!/N!</t>
  </si>
  <si>
    <t>P izda</t>
  </si>
  <si>
    <t>P dcha</t>
  </si>
  <si>
    <t>P 1 cola</t>
  </si>
  <si>
    <r>
      <t xml:space="preserve">Acumulada </t>
    </r>
    <r>
      <rPr>
        <sz val="11"/>
        <color indexed="10"/>
        <rFont val="Calibri"/>
        <family val="2"/>
      </rPr>
      <t>+suma</t>
    </r>
  </si>
  <si>
    <t>2-colas</t>
  </si>
  <si>
    <t>Test</t>
  </si>
  <si>
    <t>Test exacto de Fisher</t>
  </si>
  <si>
    <t>Validez del test asintótico:</t>
  </si>
  <si>
    <t>v</t>
  </si>
  <si>
    <r>
      <t xml:space="preserve">Test </t>
    </r>
    <r>
      <rPr>
        <b/>
        <sz val="10"/>
        <rFont val="Symbol"/>
        <family val="1"/>
        <charset val="2"/>
      </rPr>
      <t>c</t>
    </r>
    <r>
      <rPr>
        <b/>
        <sz val="10"/>
        <rFont val="Arial"/>
        <family val="2"/>
      </rPr>
      <t>² - Estadístico</t>
    </r>
  </si>
  <si>
    <t>* en la H1 compatible con los datos</t>
  </si>
  <si>
    <t>Tablas</t>
  </si>
  <si>
    <t>h=0</t>
  </si>
  <si>
    <t>OR=</t>
  </si>
  <si>
    <t>tabla original</t>
  </si>
  <si>
    <t>tabla +h</t>
  </si>
  <si>
    <t>tabla + 0.5</t>
  </si>
  <si>
    <t>Fisher (1/2 colas)</t>
  </si>
  <si>
    <t>OR'=</t>
  </si>
  <si>
    <t>p1&gt;p2</t>
  </si>
  <si>
    <t>p1&lt;p2</t>
  </si>
  <si>
    <t>P2</t>
  </si>
  <si>
    <t>Cálculos previos</t>
  </si>
  <si>
    <t>ϴ=</t>
  </si>
  <si>
    <t>E=</t>
  </si>
  <si>
    <r>
      <t>P</t>
    </r>
    <r>
      <rPr>
        <sz val="8"/>
        <color rgb="FF000000"/>
        <rFont val="Calibri"/>
        <family val="2"/>
        <charset val="1"/>
      </rPr>
      <t>1</t>
    </r>
    <r>
      <rPr>
        <sz val="10"/>
        <rFont val="Arial"/>
        <family val="2"/>
      </rPr>
      <t>=</t>
    </r>
  </si>
  <si>
    <r>
      <t>|O</t>
    </r>
    <r>
      <rPr>
        <sz val="8"/>
        <color rgb="FF000000"/>
        <rFont val="Calibri"/>
        <family val="2"/>
        <charset val="1"/>
      </rPr>
      <t>11</t>
    </r>
    <r>
      <rPr>
        <sz val="10"/>
        <rFont val="Arial"/>
        <family val="2"/>
      </rPr>
      <t>O</t>
    </r>
    <r>
      <rPr>
        <sz val="8"/>
        <color rgb="FF000000"/>
        <rFont val="Calibri"/>
        <family val="2"/>
        <charset val="1"/>
      </rPr>
      <t>22</t>
    </r>
    <r>
      <rPr>
        <sz val="10"/>
        <rFont val="Arial"/>
        <family val="2"/>
      </rPr>
      <t>-O</t>
    </r>
    <r>
      <rPr>
        <sz val="8"/>
        <color rgb="FF000000"/>
        <rFont val="Calibri"/>
        <family val="2"/>
        <charset val="1"/>
      </rPr>
      <t>12</t>
    </r>
    <r>
      <rPr>
        <sz val="10"/>
        <rFont val="Arial"/>
        <family val="2"/>
      </rPr>
      <t>O</t>
    </r>
    <r>
      <rPr>
        <sz val="8"/>
        <color rgb="FF000000"/>
        <rFont val="Calibri"/>
        <family val="2"/>
        <charset val="1"/>
      </rPr>
      <t>21</t>
    </r>
    <r>
      <rPr>
        <sz val="10"/>
        <rFont val="Arial"/>
        <family val="2"/>
      </rPr>
      <t>|=</t>
    </r>
  </si>
  <si>
    <r>
      <t>P</t>
    </r>
    <r>
      <rPr>
        <sz val="8"/>
        <color rgb="FF000000"/>
        <rFont val="Calibri"/>
        <family val="2"/>
        <charset val="1"/>
      </rPr>
      <t>2</t>
    </r>
    <r>
      <rPr>
        <sz val="10"/>
        <rFont val="Arial"/>
        <family val="2"/>
      </rPr>
      <t>=</t>
    </r>
  </si>
  <si>
    <r>
      <t>F</t>
    </r>
    <r>
      <rPr>
        <sz val="8"/>
        <color rgb="FF000000"/>
        <rFont val="Calibri"/>
        <family val="2"/>
        <charset val="1"/>
      </rPr>
      <t>1</t>
    </r>
    <r>
      <rPr>
        <sz val="10"/>
        <rFont val="Arial"/>
        <family val="2"/>
      </rPr>
      <t>F</t>
    </r>
    <r>
      <rPr>
        <sz val="8"/>
        <color rgb="FF000000"/>
        <rFont val="Calibri"/>
        <family val="2"/>
        <charset val="1"/>
      </rPr>
      <t>2</t>
    </r>
    <r>
      <rPr>
        <sz val="10"/>
        <rFont val="Arial"/>
        <family val="2"/>
      </rPr>
      <t>C</t>
    </r>
    <r>
      <rPr>
        <sz val="8"/>
        <color rgb="FF000000"/>
        <rFont val="Calibri"/>
        <family val="2"/>
        <charset val="1"/>
      </rPr>
      <t>1</t>
    </r>
    <r>
      <rPr>
        <sz val="10"/>
        <rFont val="Arial"/>
        <family val="2"/>
      </rPr>
      <t>C</t>
    </r>
    <r>
      <rPr>
        <sz val="8"/>
        <color rgb="FF000000"/>
        <rFont val="Calibri"/>
        <family val="2"/>
        <charset val="1"/>
      </rPr>
      <t>2</t>
    </r>
    <r>
      <rPr>
        <sz val="10"/>
        <rFont val="Arial"/>
        <family val="2"/>
      </rPr>
      <t>=</t>
    </r>
  </si>
  <si>
    <t>MODELO III</t>
  </si>
  <si>
    <t>1 cola</t>
  </si>
  <si>
    <t>E</t>
  </si>
  <si>
    <t>cdv</t>
  </si>
  <si>
    <t>Z(Y)</t>
  </si>
  <si>
    <t>Tabla N(0,1)</t>
  </si>
  <si>
    <t>Z (III)</t>
  </si>
  <si>
    <t>2 colas</t>
  </si>
  <si>
    <t>Asociación</t>
  </si>
  <si>
    <t>= 2×P(1 cola)</t>
  </si>
  <si>
    <t>Método de Mantel:</t>
  </si>
  <si>
    <t>[x]-</t>
  </si>
  <si>
    <t>[x]+</t>
  </si>
  <si>
    <r>
      <t>E</t>
    </r>
    <r>
      <rPr>
        <sz val="8"/>
        <rFont val="Calibri"/>
        <family val="2"/>
        <charset val="1"/>
      </rPr>
      <t>11</t>
    </r>
  </si>
  <si>
    <r>
      <t>2E</t>
    </r>
    <r>
      <rPr>
        <sz val="8"/>
        <color rgb="FF000000"/>
        <rFont val="Calibri"/>
        <family val="2"/>
        <charset val="1"/>
      </rPr>
      <t>11</t>
    </r>
    <r>
      <rPr>
        <sz val="10"/>
        <rFont val="Arial"/>
        <family val="2"/>
      </rPr>
      <t>-O</t>
    </r>
    <r>
      <rPr>
        <sz val="8"/>
        <color rgb="FF000000"/>
        <rFont val="Calibri"/>
        <family val="2"/>
        <charset val="1"/>
      </rPr>
      <t>11</t>
    </r>
  </si>
  <si>
    <t>Mantel</t>
  </si>
  <si>
    <t>= P(Y)+P'(Y)</t>
  </si>
  <si>
    <t>Siempre válido</t>
  </si>
  <si>
    <t>MODELO  II</t>
  </si>
  <si>
    <t>Z(II)</t>
  </si>
  <si>
    <t>P1≠P2</t>
  </si>
  <si>
    <t>MODELO  I</t>
  </si>
  <si>
    <t>Z(I)</t>
  </si>
  <si>
    <t>χ²</t>
  </si>
  <si>
    <t>Texto</t>
  </si>
  <si>
    <t>Calculo IC(R) método de Fieller</t>
  </si>
  <si>
    <t>denom</t>
  </si>
  <si>
    <t>linf</t>
  </si>
  <si>
    <t>R/den</t>
  </si>
  <si>
    <t>Z*Raiz</t>
  </si>
  <si>
    <t>lsup</t>
  </si>
  <si>
    <t>Fieller</t>
  </si>
  <si>
    <t>h1=0.5</t>
  </si>
  <si>
    <t>h2=z2/4</t>
  </si>
  <si>
    <t>Fieller (+h2)</t>
  </si>
  <si>
    <t>Clásico</t>
  </si>
  <si>
    <t>ETIQUETAS</t>
  </si>
  <si>
    <t>z* raiz</t>
  </si>
  <si>
    <t>suma</t>
  </si>
  <si>
    <t>raiz(suma)</t>
  </si>
  <si>
    <t>Resultado del test</t>
  </si>
  <si>
    <t>de muestra</t>
  </si>
  <si>
    <t>tamaños</t>
  </si>
  <si>
    <t>se utiliza (N-1)</t>
  </si>
  <si>
    <t>Validez</t>
  </si>
  <si>
    <t>Mensaje de validez</t>
  </si>
  <si>
    <t>No</t>
  </si>
  <si>
    <t>Si</t>
  </si>
  <si>
    <t>Si P(E)&lt;0,10</t>
  </si>
  <si>
    <t>Transversales</t>
  </si>
  <si>
    <t>Aprox Retr h=0</t>
  </si>
  <si>
    <t xml:space="preserve"> aprox h=0         &gt;</t>
  </si>
  <si>
    <t>"aprox h=0.5"         &gt;</t>
  </si>
  <si>
    <t>Aprox Retr h=0,5</t>
  </si>
  <si>
    <t xml:space="preserve">Rb </t>
  </si>
  <si>
    <t>entradas:</t>
  </si>
  <si>
    <t>Flag separador</t>
  </si>
  <si>
    <t>fmto</t>
  </si>
  <si>
    <t>separador:</t>
  </si>
  <si>
    <t xml:space="preserve">; </t>
  </si>
  <si>
    <t>Incluir??</t>
  </si>
  <si>
    <t>Report:</t>
  </si>
  <si>
    <t>&gt;&gt;&gt;</t>
  </si>
  <si>
    <t>Caducidad</t>
  </si>
  <si>
    <t>valido</t>
  </si>
  <si>
    <t>Hoy</t>
  </si>
  <si>
    <t>Msge</t>
  </si>
  <si>
    <t xml:space="preserve">Versión sin licencia valida!! </t>
  </si>
  <si>
    <t>&lt; debe ser 1 para que funcione la hoja</t>
  </si>
  <si>
    <t>Ir a informe resumido</t>
  </si>
  <si>
    <r>
      <t>Z</t>
    </r>
    <r>
      <rPr>
        <sz val="10"/>
        <rFont val="Symbol"/>
        <family val="1"/>
        <charset val="2"/>
      </rPr>
      <t>a</t>
    </r>
  </si>
  <si>
    <t>%</t>
  </si>
  <si>
    <t>3a</t>
  </si>
  <si>
    <r>
      <t>p</t>
    </r>
    <r>
      <rPr>
        <sz val="8"/>
        <rFont val="Arial"/>
        <family val="2"/>
      </rPr>
      <t>o (%)</t>
    </r>
  </si>
  <si>
    <t>UTILIDADES ESTADÍSTICAS //</t>
  </si>
  <si>
    <t>Inferencia sobre una proporción binomial</t>
  </si>
  <si>
    <t xml:space="preserve">Pedro Femia Marzo </t>
  </si>
  <si>
    <t>Entrada de datos</t>
  </si>
  <si>
    <t>Las proporciones se intruducen siempre como porcentajes</t>
  </si>
  <si>
    <t>Resumen de resultados</t>
  </si>
  <si>
    <t>n</t>
  </si>
  <si>
    <t>x</t>
  </si>
  <si>
    <t>p</t>
  </si>
  <si>
    <t>d</t>
  </si>
  <si>
    <t>ic-</t>
  </si>
  <si>
    <t>ic+</t>
  </si>
  <si>
    <t>exacto</t>
  </si>
  <si>
    <t>n-x</t>
  </si>
  <si>
    <t>Observacion con el IC exacto</t>
  </si>
  <si>
    <t>P(X&lt;=x|P+) =</t>
  </si>
  <si>
    <t>Confianza (%)</t>
  </si>
  <si>
    <t>P(X&gt;=x|P -) =</t>
  </si>
  <si>
    <t>Estimaciones puntuales</t>
  </si>
  <si>
    <t>q</t>
  </si>
  <si>
    <t>Intervalo de confianza y tamaño de muestra</t>
  </si>
  <si>
    <t>Intervalo exacto</t>
  </si>
  <si>
    <t>IC(-)</t>
  </si>
  <si>
    <t>IC(+)</t>
  </si>
  <si>
    <t>Lim. Inf.</t>
  </si>
  <si>
    <t>Exacto</t>
  </si>
  <si>
    <t>Lim. Sup.</t>
  </si>
  <si>
    <t>Wilson</t>
  </si>
  <si>
    <t>Precision:</t>
  </si>
  <si>
    <t>Wald</t>
  </si>
  <si>
    <t>Wald Ajustado</t>
  </si>
  <si>
    <t>Intervalo basado en la aproximación a la normal</t>
  </si>
  <si>
    <t>Aprox SPSS*</t>
  </si>
  <si>
    <t>(IC cuadrático de Fleiss)</t>
  </si>
  <si>
    <t>Largo</t>
  </si>
  <si>
    <t>*SEM=</t>
  </si>
  <si>
    <t>Validez:</t>
  </si>
  <si>
    <t>3b</t>
  </si>
  <si>
    <t>Precisión (%)</t>
  </si>
  <si>
    <t>n exacto</t>
  </si>
  <si>
    <t>Sin información previa</t>
  </si>
  <si>
    <t>Usando la información actual*</t>
  </si>
  <si>
    <t>* Basado en el IC de Wilson</t>
  </si>
  <si>
    <t>Test Ho: p=po</t>
  </si>
  <si>
    <t>4a</t>
  </si>
  <si>
    <t>po</t>
  </si>
  <si>
    <t>Colas</t>
  </si>
  <si>
    <t>Zexp</t>
  </si>
  <si>
    <t>4b</t>
  </si>
  <si>
    <t>Tamaño de muestra</t>
  </si>
  <si>
    <t>Potencia</t>
  </si>
  <si>
    <t xml:space="preserve"> 2beta</t>
  </si>
  <si>
    <t>Za</t>
  </si>
  <si>
    <t>Z2b=</t>
  </si>
  <si>
    <t>p1</t>
  </si>
  <si>
    <t>p0-d</t>
  </si>
  <si>
    <t>p0+d</t>
  </si>
  <si>
    <t>Referencia de las fórmulas utilizadas</t>
  </si>
  <si>
    <t>Martín Andrés, A. y Luna del Castillo, J.D (2013)</t>
  </si>
  <si>
    <t>Ed. Norma (Madrid)</t>
  </si>
  <si>
    <t>±</t>
  </si>
  <si>
    <t>cálculos intermedios</t>
  </si>
  <si>
    <t>Intervalo exacto:</t>
  </si>
  <si>
    <t>Casos</t>
  </si>
  <si>
    <t>x y n-x &lt;&gt;0</t>
  </si>
  <si>
    <t>a</t>
  </si>
  <si>
    <t>gl1</t>
  </si>
  <si>
    <t>gl2</t>
  </si>
  <si>
    <t>F</t>
  </si>
  <si>
    <t>x=0</t>
  </si>
  <si>
    <t>x=n</t>
  </si>
  <si>
    <t>eleccion:</t>
  </si>
  <si>
    <t>Intervalo largo:</t>
  </si>
  <si>
    <t xml:space="preserve">A    *   </t>
  </si>
  <si>
    <t>(x +/-  0.5)</t>
  </si>
  <si>
    <t>+   t^2/2</t>
  </si>
  <si>
    <t xml:space="preserve"> +/-  t  Raiz(...)</t>
  </si>
  <si>
    <t>I.C.</t>
  </si>
  <si>
    <t>Precisión:</t>
  </si>
  <si>
    <t>Intervalo corto:</t>
  </si>
  <si>
    <t>ta</t>
  </si>
  <si>
    <t>Raiz(pq/n)</t>
  </si>
  <si>
    <t>1/2n</t>
  </si>
  <si>
    <t>Precisión</t>
  </si>
  <si>
    <t>Wald ajustado</t>
  </si>
  <si>
    <t>x+2</t>
  </si>
  <si>
    <t>n-x+2</t>
  </si>
  <si>
    <t>n+4</t>
  </si>
  <si>
    <t>centro</t>
  </si>
  <si>
    <t>radio</t>
  </si>
  <si>
    <t>IC</t>
  </si>
  <si>
    <t>Tamaño de muestra con informacion previa  basado en el IC por aprox. A la normal</t>
  </si>
  <si>
    <t>Determinacion del p del IC mas proximo a 0.5</t>
  </si>
  <si>
    <t>LI</t>
  </si>
  <si>
    <t>LS</t>
  </si>
  <si>
    <t>LI&lt;0.5</t>
  </si>
  <si>
    <t>LS&gt;0.5</t>
  </si>
  <si>
    <t>Resultado</t>
  </si>
  <si>
    <t>Param</t>
  </si>
  <si>
    <t>LI&lt;0.5&lt;LS</t>
  </si>
  <si>
    <t>0.5&lt;LI&lt;LS</t>
  </si>
  <si>
    <t>LI&lt;LS&lt;0.5</t>
  </si>
  <si>
    <t>p (est) =</t>
  </si>
  <si>
    <t>q (est) =</t>
  </si>
  <si>
    <t>Bradicardia</t>
  </si>
  <si>
    <t>Droga</t>
  </si>
  <si>
    <r>
      <t>|O</t>
    </r>
    <r>
      <rPr>
        <sz val="8"/>
        <color theme="0"/>
        <rFont val="Calibri"/>
        <family val="2"/>
        <charset val="1"/>
      </rPr>
      <t>11</t>
    </r>
    <r>
      <rPr>
        <sz val="10"/>
        <color theme="0"/>
        <rFont val="Arial"/>
        <family val="2"/>
      </rPr>
      <t>O</t>
    </r>
    <r>
      <rPr>
        <sz val="8"/>
        <color theme="0"/>
        <rFont val="Calibri"/>
        <family val="2"/>
        <charset val="1"/>
      </rPr>
      <t>22</t>
    </r>
    <r>
      <rPr>
        <sz val="10"/>
        <color theme="0"/>
        <rFont val="Arial"/>
        <family val="2"/>
      </rPr>
      <t>-O</t>
    </r>
    <r>
      <rPr>
        <sz val="8"/>
        <color theme="0"/>
        <rFont val="Calibri"/>
        <family val="2"/>
        <charset val="1"/>
      </rPr>
      <t>12</t>
    </r>
    <r>
      <rPr>
        <sz val="10"/>
        <color theme="0"/>
        <rFont val="Arial"/>
        <family val="2"/>
      </rPr>
      <t>O</t>
    </r>
    <r>
      <rPr>
        <sz val="8"/>
        <color theme="0"/>
        <rFont val="Calibri"/>
        <family val="2"/>
        <charset val="1"/>
      </rPr>
      <t>21</t>
    </r>
    <r>
      <rPr>
        <sz val="10"/>
        <color theme="0"/>
        <rFont val="Arial"/>
        <family val="2"/>
      </rPr>
      <t>|</t>
    </r>
  </si>
  <si>
    <t>Métodos Básicos en Bioestadística - Grado en Estadística</t>
  </si>
  <si>
    <t>(vinculados a página principal)</t>
  </si>
  <si>
    <t xml:space="preserve"> T</t>
  </si>
  <si>
    <t>Referencia:</t>
  </si>
  <si>
    <t>(acorde con directrices APA 17.0)</t>
  </si>
  <si>
    <t>Unidad Docente de Medicina</t>
  </si>
  <si>
    <t>Departamento de Estadística e I.O.</t>
  </si>
  <si>
    <t>T2x2</t>
  </si>
  <si>
    <t xml:space="preserve">Análisis de tablas de contingencia 2x2 </t>
  </si>
  <si>
    <t>Descripción de la aplicación</t>
  </si>
  <si>
    <t>●</t>
  </si>
  <si>
    <t>Descripción de las páginas:</t>
  </si>
  <si>
    <t>Licencia, condiciones de uso y descargo de responsabilidades</t>
  </si>
  <si>
    <r>
      <t xml:space="preserve">Esta aplicación </t>
    </r>
    <r>
      <rPr>
        <b/>
        <sz val="11"/>
        <rFont val="Calibri"/>
        <family val="2"/>
        <scheme val="minor"/>
      </rPr>
      <t>no funciona con macros</t>
    </r>
    <r>
      <rPr>
        <sz val="11"/>
        <rFont val="Calibri"/>
        <family val="2"/>
        <scheme val="minor"/>
      </rPr>
      <t>. Se evitan así problemas de incompatibilidad entre versiones y tambíen el posible mal</t>
    </r>
  </si>
  <si>
    <t>funcionamiento derivado de la inhabilitación de las mismas, por parte del sistema, para salvaguardar la seguridad de su equipo.</t>
  </si>
  <si>
    <t>Bibliografía</t>
  </si>
  <si>
    <r>
      <t>Referencia de esta aplicación</t>
    </r>
    <r>
      <rPr>
        <sz val="11"/>
        <rFont val="Calibri"/>
        <family val="2"/>
        <scheme val="minor"/>
      </rPr>
      <t/>
    </r>
  </si>
  <si>
    <t xml:space="preserve">Desarrollo: </t>
  </si>
  <si>
    <t>MS-Excel 2016</t>
  </si>
  <si>
    <t xml:space="preserve">Versión: </t>
  </si>
  <si>
    <t>Año:</t>
  </si>
  <si>
    <t>URL:</t>
  </si>
  <si>
    <t>https://www.ugr.es/~pfemia/apps/T2x2</t>
  </si>
  <si>
    <t>T2x2 proporciona la prueba de independencia entre dos variables binarias o la de homogeneidad para dos muestras independientes</t>
  </si>
  <si>
    <r>
      <t xml:space="preserve">de una variable dicotómica. Se realiza el test exacto de Fisher y el asitótico </t>
    </r>
    <r>
      <rPr>
        <sz val="11"/>
        <rFont val="Symbol"/>
        <family val="1"/>
        <charset val="2"/>
      </rPr>
      <t>c²</t>
    </r>
    <r>
      <rPr>
        <sz val="11"/>
        <rFont val="Calibri"/>
        <family val="2"/>
        <scheme val="minor"/>
      </rPr>
      <t xml:space="preserve"> con la corrección por continuidad apropiada.</t>
    </r>
  </si>
  <si>
    <t>Adicionalmente, se estiman las medidas de asociación apropiadas para este tipo de estudios</t>
  </si>
  <si>
    <t>Referencia de los datos</t>
  </si>
  <si>
    <t>en  la  hoja</t>
  </si>
  <si>
    <t xml:space="preserve">Los datos utilizados en  esta página  son los introducidos en </t>
  </si>
  <si>
    <t>Este es el resumen:</t>
  </si>
  <si>
    <t>q  (=1-p)</t>
  </si>
  <si>
    <t xml:space="preserve">La validez de las inferencias está sometida a su adecuación al tipo de muestreo considerado. La aplicación no </t>
  </si>
  <si>
    <t>omite los cálculos que puedan no resultar válidos, como pueden ser las medidas de riesgo en los estudios</t>
  </si>
  <si>
    <t>de tipo retrospectivo (casos y controles).</t>
  </si>
  <si>
    <t>por diferentes autores.</t>
  </si>
  <si>
    <t>Las medidas de asociación y sus intervalos de confianza se presentan de acuerdo a los planteamientos realizados</t>
  </si>
  <si>
    <t>Prevalencia</t>
  </si>
  <si>
    <t>se puede inferir este parámetro a partir de los datos introducidos en la hoja Asociación</t>
  </si>
  <si>
    <t>En los estudios de prevalencia asociados a la presentación de los datos en forma de tabla de contingencia 2x2,</t>
  </si>
  <si>
    <t>Las frecuencias consideradas, conforme a la tabla presentada más arriba, son F1 para los casos con respuesta presente</t>
  </si>
  <si>
    <t>y T para el tamaño muestral.</t>
  </si>
  <si>
    <t xml:space="preserve">Los intervalos de confianza para la prevalencia se obtienen de acuerdo a la estimación binomial exacta o según </t>
  </si>
  <si>
    <t>diferentes aproximaciones (ver la bibliografía)</t>
  </si>
  <si>
    <t>3.0</t>
  </si>
  <si>
    <t>2020 (2010-2020)</t>
  </si>
  <si>
    <r>
      <rPr>
        <sz val="9"/>
        <rFont val="Calibri"/>
        <family val="2"/>
        <scheme val="minor"/>
      </rPr>
      <t xml:space="preserve">Femia, P. (2020) </t>
    </r>
    <r>
      <rPr>
        <i/>
        <sz val="9"/>
        <rFont val="Calibri"/>
        <family val="2"/>
        <scheme val="minor"/>
      </rPr>
      <t xml:space="preserve">T2x2 </t>
    </r>
    <r>
      <rPr>
        <sz val="9"/>
        <rFont val="Calibri"/>
        <family val="2"/>
        <scheme val="minor"/>
      </rPr>
      <t>(versión 3.0) [Hoja de cálculo]</t>
    </r>
    <r>
      <rPr>
        <i/>
        <sz val="9"/>
        <rFont val="Calibri"/>
        <family val="2"/>
        <scheme val="minor"/>
      </rPr>
      <t>.</t>
    </r>
    <r>
      <rPr>
        <sz val="9"/>
        <rFont val="Calibri"/>
        <family val="2"/>
        <scheme val="minor"/>
      </rPr>
      <t xml:space="preserve"> Universidad de Granada.</t>
    </r>
  </si>
  <si>
    <t>Test aproximados</t>
  </si>
  <si>
    <t>Material docente utilizado en la asignatura Métodos Básicos en Bioestadística (Grado en Estadística) de la</t>
  </si>
  <si>
    <t>IMPLEMENTACIÓN DE LAS FÓRMULAS DEL CUADRO 4.1. TEST APROPIADO A UTLIZAR EN TABLAS 2×2</t>
  </si>
  <si>
    <t>ANEXO /</t>
  </si>
  <si>
    <t>Universidad de Granada (véase el material de la asignatura)</t>
  </si>
  <si>
    <t>Proximamente se documentará convenientemente este apartado.</t>
  </si>
  <si>
    <t xml:space="preserve">products and documentation remains with recipient. </t>
  </si>
  <si>
    <t xml:space="preserve">warranties. The entire risk arising out of the use or performance of the </t>
  </si>
  <si>
    <t xml:space="preserve">maximum extent permitted by applicable law, the authors further disclaims all </t>
  </si>
  <si>
    <t xml:space="preserve">This software is provided "as is" without warranty of any kind. To the </t>
  </si>
  <si>
    <t>DISCLAIMER</t>
  </si>
  <si>
    <t>license permits.</t>
  </si>
  <si>
    <t xml:space="preserve">technological measures that legally restrict others from doing anything the </t>
  </si>
  <si>
    <t>- NO ADDITIONAL RESTRICTIONS. You may not apply legal terms or</t>
  </si>
  <si>
    <t>you may not  distribute the modified material.</t>
  </si>
  <si>
    <t xml:space="preserve">purposes. NoDerivatives. If you remix, transform, or build upon the material, </t>
  </si>
  <si>
    <t>- NON-COMERCIAL USE. You may not use the material for commercial</t>
  </si>
  <si>
    <t>you or your use.</t>
  </si>
  <si>
    <t xml:space="preserve">reasonable manner, but not in any way that suggests the licensor endorses </t>
  </si>
  <si>
    <t xml:space="preserve">license, and indicate if changes were made. You may do so in any </t>
  </si>
  <si>
    <t xml:space="preserve">- ATTRIBUTION.  You must give appropriate credit, provide a link to the </t>
  </si>
  <si>
    <t>or format, under the following terms:</t>
  </si>
  <si>
    <t xml:space="preserve">You are free to use, share, copy and redistribute the material in any medium </t>
  </si>
  <si>
    <t>implicit agreement.</t>
  </si>
  <si>
    <t xml:space="preserve">the license prior to use this software for any purpose.  Utilization implies the </t>
  </si>
  <si>
    <t xml:space="preserve">International License (CC BY-NC-ND 4.0). You must agree with the terms of </t>
  </si>
  <si>
    <t xml:space="preserve">This software is licensed under the Creative Commons Attribution </t>
  </si>
  <si>
    <t xml:space="preserve">LICENSE </t>
  </si>
  <si>
    <t>Las celdas que permiten la entrada de datos son aquellas sombreadas en gris.</t>
  </si>
  <si>
    <t>La aplicación también proporciona las inferencias sobre la prevalencia de la respuesta (válidas en estudios transversales)</t>
  </si>
  <si>
    <t>Valida prevalencia</t>
  </si>
  <si>
    <t>&lt; INICIO</t>
  </si>
  <si>
    <t>&lt; Inicio</t>
  </si>
  <si>
    <t>CC</t>
  </si>
  <si>
    <t>Utilidades Estadísticas /</t>
  </si>
  <si>
    <t>ver Resúmenes</t>
  </si>
  <si>
    <r>
      <t>t</t>
    </r>
    <r>
      <rPr>
        <b/>
        <sz val="8"/>
        <rFont val="Arial"/>
        <family val="2"/>
      </rPr>
      <t>exp</t>
    </r>
  </si>
  <si>
    <t>no</t>
  </si>
  <si>
    <t>si</t>
  </si>
  <si>
    <t>Pretest</t>
  </si>
  <si>
    <t>Posttest</t>
  </si>
  <si>
    <t>Estudio pretest-postest</t>
  </si>
  <si>
    <t>(2004) Ed. Norma (Madrid)</t>
  </si>
  <si>
    <t>Bioestadística para las Ciencias de la Salud</t>
  </si>
  <si>
    <t>Martín Andrés, A. y Luna del Castillo, J.D</t>
  </si>
  <si>
    <t>Referencias de las fórmulas</t>
  </si>
  <si>
    <t>n=</t>
  </si>
  <si>
    <t>d=</t>
  </si>
  <si>
    <r>
      <t>t</t>
    </r>
    <r>
      <rPr>
        <sz val="8"/>
        <rFont val="Symbol"/>
        <family val="1"/>
        <charset val="2"/>
      </rPr>
      <t>2b</t>
    </r>
    <r>
      <rPr>
        <sz val="10"/>
        <rFont val="Symbol"/>
        <family val="1"/>
        <charset val="2"/>
      </rPr>
      <t>=</t>
    </r>
  </si>
  <si>
    <t>1-b=</t>
  </si>
  <si>
    <r>
      <t>t</t>
    </r>
    <r>
      <rPr>
        <sz val="8"/>
        <rFont val="Symbol"/>
        <family val="1"/>
        <charset val="2"/>
      </rPr>
      <t>a</t>
    </r>
    <r>
      <rPr>
        <sz val="10"/>
        <rFont val="Symbol"/>
        <family val="1"/>
        <charset val="2"/>
      </rPr>
      <t>=</t>
    </r>
  </si>
  <si>
    <t>a=</t>
  </si>
  <si>
    <t>Tamaño de muestra para el test de McNemar (sin muestra piloto)</t>
  </si>
  <si>
    <t>Agresti-Min</t>
  </si>
  <si>
    <t>Lim inf</t>
  </si>
  <si>
    <t>Diferencia</t>
  </si>
  <si>
    <t>Estimación</t>
  </si>
  <si>
    <t>Test de McNemar (sin cpc)</t>
  </si>
  <si>
    <t>Test de McNemar (con cpc)</t>
  </si>
  <si>
    <t>Sig.</t>
  </si>
  <si>
    <t>Test de homogeneidad</t>
  </si>
  <si>
    <t>Inferencias</t>
  </si>
  <si>
    <t>=p2</t>
  </si>
  <si>
    <t>=p1</t>
  </si>
  <si>
    <t>% Totales</t>
  </si>
  <si>
    <t>Nivel de Confianza:</t>
  </si>
  <si>
    <t>Condicion 2</t>
  </si>
  <si>
    <t>Condicion 1</t>
  </si>
  <si>
    <t>Inferencia para dos proporciones apareadas</t>
  </si>
  <si>
    <t>test x2</t>
  </si>
  <si>
    <t>Test X2</t>
  </si>
  <si>
    <t xml:space="preserve"> Introducción de los datos observados. El formato de la tabla de datos es considerando que la variable respuesta se presenta por filas y la variable factor por columnas:</t>
  </si>
  <si>
    <t>proporciones a partir de dos muestras independientes.</t>
  </si>
  <si>
    <t>Test Ji-cuadrado para contrastar la asociación entre dos variables binarias a partir de una muestra (test de independencia), o bien la homogeneidad de dos</t>
  </si>
  <si>
    <t>Test McNemar</t>
  </si>
  <si>
    <t>Test de homogeneidad de dos proporciones a partir de dos muestras relacionadas</t>
  </si>
  <si>
    <t>Diferencia de proporciones</t>
  </si>
  <si>
    <t>Norepinefrina</t>
  </si>
  <si>
    <t>Fenilepinefrina</t>
  </si>
  <si>
    <t>Win-App</t>
  </si>
  <si>
    <t>Web-App</t>
  </si>
  <si>
    <t>R package</t>
  </si>
  <si>
    <t>Sí</t>
  </si>
  <si>
    <t>Clase</t>
  </si>
  <si>
    <t>D</t>
  </si>
  <si>
    <t>Visite el sitio web de Delta:</t>
  </si>
  <si>
    <t xml:space="preserve">http://www.ugr.es/~bioest/software/delta/ </t>
  </si>
  <si>
    <t>Estimation of asymptotic agreement measures according to the model Delta in tables 2x2</t>
  </si>
  <si>
    <t>Actualización:</t>
  </si>
  <si>
    <t>Para casos de matriz diagonal</t>
  </si>
  <si>
    <t>Cálculos</t>
  </si>
  <si>
    <t>Matriz de clasificación 2x2. Si un observador es un estándar, debe de aparecer por filas</t>
  </si>
  <si>
    <t>Sampling</t>
  </si>
  <si>
    <t>Varianzas</t>
  </si>
  <si>
    <t>n(1-D)
(x12+x21)/(ri+ci)^2</t>
  </si>
  <si>
    <t>Datos analizados</t>
  </si>
  <si>
    <t>C1</t>
  </si>
  <si>
    <t>C2</t>
  </si>
  <si>
    <t>i</t>
  </si>
  <si>
    <t>xii</t>
  </si>
  <si>
    <t>ci</t>
  </si>
  <si>
    <t>ri</t>
  </si>
  <si>
    <t>c1c2</t>
  </si>
  <si>
    <t>r1r2</t>
  </si>
  <si>
    <t>x12+x21</t>
  </si>
  <si>
    <t>x12 x21</t>
  </si>
  <si>
    <t>SQRT(x12 x21)</t>
  </si>
  <si>
    <t>Di</t>
  </si>
  <si>
    <t>Pi</t>
  </si>
  <si>
    <t>Ai</t>
  </si>
  <si>
    <t>Ci</t>
  </si>
  <si>
    <t>D global</t>
  </si>
  <si>
    <t>1-D</t>
  </si>
  <si>
    <t>1-Di</t>
  </si>
  <si>
    <t>1-Pi</t>
  </si>
  <si>
    <t>V(Di) MI</t>
  </si>
  <si>
    <t>V(Di) MII</t>
  </si>
  <si>
    <t>V(Pi)</t>
  </si>
  <si>
    <t>V(Ai) MI</t>
  </si>
  <si>
    <t>V(Ai) MII</t>
  </si>
  <si>
    <t>V(Ci)</t>
  </si>
  <si>
    <t>V(D) MI</t>
  </si>
  <si>
    <t>V(D) MII</t>
  </si>
  <si>
    <t>(ri+ci)^2</t>
  </si>
  <si>
    <t>n(1-D)/(ri+ci)^2</t>
  </si>
  <si>
    <t>R1</t>
  </si>
  <si>
    <t>R2</t>
  </si>
  <si>
    <t>R Standard</t>
  </si>
  <si>
    <t>Tipo de problema</t>
  </si>
  <si>
    <t>Kappa =</t>
  </si>
  <si>
    <t>A</t>
  </si>
  <si>
    <t>SE(k) =</t>
  </si>
  <si>
    <t>B</t>
  </si>
  <si>
    <t>Pi(i)</t>
  </si>
  <si>
    <t xml:space="preserve">diagonal: </t>
  </si>
  <si>
    <t>Ie</t>
  </si>
  <si>
    <t>Asymptotic</t>
  </si>
  <si>
    <t>Opciones</t>
  </si>
  <si>
    <t>1-k</t>
  </si>
  <si>
    <t>Tipo de muestreo</t>
  </si>
  <si>
    <t>Destacar las medidas válidas</t>
  </si>
  <si>
    <t>(1-k)^2</t>
  </si>
  <si>
    <t>R es un estándar</t>
  </si>
  <si>
    <t>Tipo asintótico</t>
  </si>
  <si>
    <t xml:space="preserve">dependiendo del tipo de muestreo y de </t>
  </si>
  <si>
    <t>C</t>
  </si>
  <si>
    <t>Yes/No</t>
  </si>
  <si>
    <t>la presencia, o no, de un estándar</t>
  </si>
  <si>
    <t>T2</t>
  </si>
  <si>
    <t>Delta</t>
  </si>
  <si>
    <t>(la versión de Excel puede bloquear está función)</t>
  </si>
  <si>
    <t>Var(k)</t>
  </si>
  <si>
    <t>Formato</t>
  </si>
  <si>
    <t>∞∞</t>
  </si>
  <si>
    <t>kappa</t>
  </si>
  <si>
    <t>SE(k)</t>
  </si>
  <si>
    <t>SE(k)*</t>
  </si>
  <si>
    <t>Medidas</t>
  </si>
  <si>
    <t>*SE(k) has been calculated adding by 0.5 to all the data</t>
  </si>
  <si>
    <t>Índice</t>
  </si>
  <si>
    <t>Muestreo</t>
  </si>
  <si>
    <t>Varianza</t>
  </si>
  <si>
    <t>Error estándar</t>
  </si>
  <si>
    <t>condicion</t>
  </si>
  <si>
    <t>Estandar</t>
  </si>
  <si>
    <r>
      <t xml:space="preserve">Conformidad
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i</t>
    </r>
  </si>
  <si>
    <t>I</t>
  </si>
  <si>
    <t>II</t>
  </si>
  <si>
    <r>
      <t xml:space="preserve">Predictividad
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i</t>
    </r>
  </si>
  <si>
    <r>
      <t xml:space="preserve">Acuerdo
</t>
    </r>
    <r>
      <rPr>
        <b/>
        <i/>
        <sz val="10"/>
        <rFont val="Arial"/>
        <family val="2"/>
      </rPr>
      <t>A</t>
    </r>
    <r>
      <rPr>
        <b/>
        <i/>
        <vertAlign val="subscript"/>
        <sz val="10"/>
        <rFont val="Arial"/>
        <family val="2"/>
      </rPr>
      <t>i</t>
    </r>
  </si>
  <si>
    <t>Siempre</t>
  </si>
  <si>
    <r>
      <t xml:space="preserve">Consistencia
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i</t>
    </r>
  </si>
  <si>
    <t>R no es un estándar</t>
  </si>
  <si>
    <t>Delta 
(global)</t>
  </si>
  <si>
    <t>http:/</t>
  </si>
  <si>
    <t>Pedro Femia Marzo &amp; Antonio Martín-Andrés</t>
  </si>
  <si>
    <t>Aplicaciones implementando Delta</t>
  </si>
  <si>
    <t>Parámetros del modelo</t>
  </si>
  <si>
    <t>Acuerdo nominal</t>
  </si>
  <si>
    <t>Medidas de acuerdo entre observadores (escala nominal) Kappa de Cohen y Delta (Martín &amp; Femia)</t>
  </si>
  <si>
    <t xml:space="preserve">El modelo Delta se estima de forma asintótica sobre una tabla de contingencia 2x2. Si necesita evaluar el nivel </t>
  </si>
  <si>
    <t>de acuerdo entre dos observadores cuando la variable presenta más de dos categorías, puede utilizar las otras</t>
  </si>
  <si>
    <t>(pulse aquí para acceder a DeltaWeb)</t>
  </si>
  <si>
    <r>
      <rPr>
        <i/>
        <sz val="10"/>
        <color rgb="FFD14500"/>
        <rFont val="Source Sans Pro"/>
        <family val="2"/>
      </rPr>
      <t>T2x2</t>
    </r>
    <r>
      <rPr>
        <sz val="10"/>
        <color rgb="FFD14500"/>
        <rFont val="Source Sans Pro"/>
        <family val="2"/>
      </rPr>
      <t> </t>
    </r>
    <r>
      <rPr>
        <sz val="10"/>
        <color rgb="FF333333"/>
        <rFont val="Source Sans Pro"/>
        <family val="2"/>
      </rPr>
      <t>© 2020 by </t>
    </r>
    <r>
      <rPr>
        <sz val="10"/>
        <color rgb="FFD14500"/>
        <rFont val="Source Sans Pro"/>
        <family val="2"/>
      </rPr>
      <t>Pedro Femia </t>
    </r>
    <r>
      <rPr>
        <sz val="10"/>
        <color rgb="FF333333"/>
        <rFont val="Source Sans Pro"/>
        <family val="2"/>
      </rPr>
      <t>is licensed under </t>
    </r>
    <r>
      <rPr>
        <sz val="10"/>
        <color rgb="FFD14500"/>
        <rFont val="Source Sans Pro"/>
        <family val="2"/>
      </rPr>
      <t>Creative Commons Attribution-NonCommercial-NoDerivatives 4.0 International </t>
    </r>
  </si>
  <si>
    <t>implementaciones del modelo cuyos enlaces se presentan en la página</t>
  </si>
  <si>
    <t>Zb</t>
  </si>
  <si>
    <t>Za/2</t>
  </si>
  <si>
    <t>(=Diferencia a detectar)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</si>
</sst>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"/>
    <numFmt numFmtId="165" formatCode="0.0000"/>
    <numFmt numFmtId="166" formatCode="0.00000"/>
    <numFmt numFmtId="167" formatCode="0.0000000"/>
    <numFmt numFmtId="168" formatCode="0.000000"/>
    <numFmt numFmtId="169" formatCode="0.000000000"/>
    <numFmt numFmtId="170" formatCode="0.00000000"/>
    <numFmt numFmtId="171" formatCode="0.0%"/>
    <numFmt numFmtId="172" formatCode="0.0"/>
    <numFmt numFmtId="173" formatCode="0.000%"/>
    <numFmt numFmtId="174" formatCode="0.0000000000"/>
  </numFmts>
  <fonts count="1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sz val="10"/>
      <color indexed="48"/>
      <name val="Arial"/>
      <family val="2"/>
    </font>
    <font>
      <b/>
      <sz val="6"/>
      <name val="Arial"/>
      <family val="2"/>
    </font>
    <font>
      <b/>
      <i/>
      <sz val="10"/>
      <name val="Symbol"/>
      <family val="1"/>
      <charset val="2"/>
    </font>
    <font>
      <b/>
      <sz val="10"/>
      <name val="Symbol"/>
      <family val="1"/>
      <charset val="2"/>
    </font>
    <font>
      <sz val="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i/>
      <sz val="10"/>
      <color indexed="6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2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/>
      <sz val="10"/>
      <color indexed="18"/>
      <name val="Arial"/>
      <family val="2"/>
    </font>
    <font>
      <u/>
      <sz val="8"/>
      <color indexed="18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Symbol"/>
      <family val="1"/>
      <charset val="2"/>
    </font>
    <font>
      <i/>
      <sz val="8.5"/>
      <name val="Symbol"/>
      <family val="1"/>
      <charset val="2"/>
    </font>
    <font>
      <sz val="10"/>
      <name val="Symbol"/>
      <family val="1"/>
      <charset val="2"/>
    </font>
    <font>
      <u/>
      <sz val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22"/>
      <name val="Arial"/>
      <family val="2"/>
    </font>
    <font>
      <b/>
      <u/>
      <sz val="10"/>
      <name val="Arial"/>
      <family val="2"/>
    </font>
    <font>
      <b/>
      <sz val="11"/>
      <name val="Symbol"/>
      <family val="1"/>
      <charset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9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0"/>
      <color theme="3" tint="-0.499984740745262"/>
      <name val="Arial"/>
      <family val="2"/>
    </font>
    <font>
      <b/>
      <i/>
      <sz val="10"/>
      <color rgb="FFC00000"/>
      <name val="Arial"/>
      <family val="2"/>
    </font>
    <font>
      <b/>
      <sz val="12"/>
      <color theme="5" tint="-0.499984740745262"/>
      <name val="Arial"/>
      <family val="2"/>
    </font>
    <font>
      <sz val="12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A6A6A6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name val="Calibri"/>
      <family val="2"/>
      <charset val="1"/>
    </font>
    <font>
      <sz val="8"/>
      <name val="Calibri"/>
      <family val="2"/>
      <charset val="1"/>
    </font>
    <font>
      <sz val="11"/>
      <color rgb="FF376092"/>
      <name val="Calibri"/>
      <family val="2"/>
      <charset val="1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color theme="0" tint="-4.9989318521683403E-2"/>
      <name val="Arial"/>
      <family val="2"/>
    </font>
    <font>
      <sz val="10"/>
      <color theme="9" tint="-0.499984740745262"/>
      <name val="Arial"/>
      <family val="2"/>
    </font>
    <font>
      <sz val="10"/>
      <color theme="9" tint="-0.499984740745262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u/>
      <sz val="8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sz val="10"/>
      <color indexed="43"/>
      <name val="Arial"/>
      <family val="2"/>
    </font>
    <font>
      <b/>
      <u/>
      <sz val="10"/>
      <color indexed="23"/>
      <name val="Arial"/>
      <family val="2"/>
    </font>
    <font>
      <b/>
      <i/>
      <sz val="10"/>
      <color indexed="55"/>
      <name val="Arial"/>
      <family val="2"/>
    </font>
    <font>
      <sz val="10"/>
      <color indexed="55"/>
      <name val="Symbol"/>
      <family val="1"/>
      <charset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0"/>
      <color indexed="41"/>
      <name val="Arial"/>
      <family val="2"/>
    </font>
    <font>
      <b/>
      <sz val="10"/>
      <color theme="5" tint="-0.499984740745262"/>
      <name val="Arial"/>
      <family val="2"/>
    </font>
    <font>
      <sz val="8"/>
      <color theme="4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sz val="16"/>
      <color theme="0"/>
      <name val="Calibri"/>
      <family val="2"/>
      <charset val="1"/>
    </font>
    <font>
      <sz val="10"/>
      <color theme="0"/>
      <name val="Arial"/>
      <family val="2"/>
    </font>
    <font>
      <sz val="8"/>
      <color theme="0"/>
      <name val="Calibri"/>
      <family val="2"/>
      <charset val="1"/>
    </font>
    <font>
      <sz val="8"/>
      <color rgb="FFC00000"/>
      <name val="Arial"/>
      <family val="2"/>
    </font>
    <font>
      <sz val="8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2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u/>
      <sz val="16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Arial"/>
      <family val="2"/>
    </font>
    <font>
      <b/>
      <u/>
      <sz val="9"/>
      <color theme="4" tint="-0.499984740745262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8"/>
      <name val="Calibri"/>
      <family val="2"/>
    </font>
    <font>
      <sz val="11"/>
      <name val="Symbol"/>
      <family val="1"/>
      <charset val="2"/>
    </font>
    <font>
      <sz val="12"/>
      <color theme="0"/>
      <name val="Arial"/>
      <family val="2"/>
    </font>
    <font>
      <sz val="10"/>
      <color theme="4" tint="-0.499984740745262"/>
      <name val="Arial"/>
      <family val="2"/>
    </font>
    <font>
      <u/>
      <sz val="10"/>
      <color indexed="12"/>
      <name val="Calibri"/>
      <family val="2"/>
      <scheme val="minor"/>
    </font>
    <font>
      <b/>
      <sz val="11"/>
      <color theme="0"/>
      <name val="Arial"/>
      <family val="2"/>
    </font>
    <font>
      <sz val="10"/>
      <color rgb="FFD14500"/>
      <name val="Source Sans Pro"/>
      <family val="2"/>
    </font>
    <font>
      <u/>
      <sz val="9"/>
      <color indexed="12"/>
      <name val="Calibri"/>
      <family val="2"/>
      <scheme val="minor"/>
    </font>
    <font>
      <sz val="10"/>
      <name val="Arial"/>
    </font>
    <font>
      <sz val="10"/>
      <color indexed="9"/>
      <name val="Arial"/>
    </font>
    <font>
      <sz val="10"/>
      <color rgb="FF333333"/>
      <name val="Source Sans Pro"/>
      <family val="2"/>
    </font>
    <font>
      <u/>
      <sz val="10"/>
      <color indexed="12"/>
      <name val="Arial"/>
    </font>
    <font>
      <u/>
      <sz val="8"/>
      <color indexed="12"/>
      <name val="Arial"/>
    </font>
    <font>
      <sz val="12"/>
      <name val="Times New Roman"/>
      <family val="1"/>
    </font>
    <font>
      <b/>
      <sz val="11"/>
      <name val="Arial"/>
      <family val="2"/>
    </font>
    <font>
      <sz val="8"/>
      <name val="Arial"/>
    </font>
    <font>
      <sz val="8"/>
      <name val="Symbol"/>
      <family val="1"/>
      <charset val="2"/>
    </font>
    <font>
      <b/>
      <sz val="9"/>
      <color indexed="18"/>
      <name val="Arial"/>
      <family val="2"/>
    </font>
    <font>
      <sz val="9"/>
      <color theme="4" tint="-0.499984740745262"/>
      <name val="Arial"/>
      <family val="2"/>
    </font>
    <font>
      <b/>
      <sz val="8"/>
      <name val="Symbol"/>
      <family val="1"/>
      <charset val="2"/>
    </font>
    <font>
      <b/>
      <i/>
      <vertAlign val="subscript"/>
      <sz val="10"/>
      <name val="Arial"/>
      <family val="2"/>
    </font>
    <font>
      <i/>
      <sz val="8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indexed="23"/>
      <name val="Calibri"/>
      <family val="2"/>
    </font>
    <font>
      <b/>
      <sz val="8"/>
      <color indexed="81"/>
      <name val="Tahoma"/>
      <family val="2"/>
    </font>
    <font>
      <sz val="8"/>
      <color theme="0"/>
      <name val="Arial"/>
      <family val="2"/>
    </font>
    <font>
      <u/>
      <sz val="8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4" tint="-0.499984740745262"/>
      <name val="Arial"/>
      <family val="2"/>
    </font>
    <font>
      <i/>
      <sz val="10"/>
      <color rgb="FFD14500"/>
      <name val="Source Sans Pro"/>
      <family val="2"/>
    </font>
    <font>
      <sz val="10"/>
      <color theme="0" tint="-0.499984740745262"/>
      <name val="Symbol"/>
      <family val="1"/>
      <charset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3" fillId="0" borderId="0"/>
    <xf numFmtId="9" fontId="2" fillId="0" borderId="0" applyFont="0" applyFill="0" applyBorder="0" applyAlignment="0" applyProtection="0"/>
    <xf numFmtId="0" fontId="1" fillId="0" borderId="0"/>
    <xf numFmtId="0" fontId="132" fillId="0" borderId="0" applyNumberFormat="0" applyFill="0" applyBorder="0" applyAlignment="0" applyProtection="0">
      <alignment vertical="top"/>
      <protection locked="0"/>
    </xf>
    <xf numFmtId="9" fontId="129" fillId="0" borderId="0" applyFont="0" applyFill="0" applyBorder="0" applyAlignment="0" applyProtection="0"/>
    <xf numFmtId="0" fontId="2" fillId="0" borderId="0"/>
  </cellStyleXfs>
  <cellXfs count="138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14" fontId="8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Protection="1"/>
    <xf numFmtId="0" fontId="1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Protection="1"/>
    <xf numFmtId="0" fontId="17" fillId="0" borderId="0" xfId="0" applyFont="1" applyAlignment="1" applyProtection="1">
      <alignment horizontal="left"/>
    </xf>
    <xf numFmtId="0" fontId="31" fillId="0" borderId="0" xfId="0" applyFont="1" applyBorder="1" applyAlignment="1" applyProtection="1">
      <alignment horizontal="left"/>
    </xf>
    <xf numFmtId="10" fontId="18" fillId="0" borderId="0" xfId="3" applyNumberFormat="1" applyFont="1" applyFill="1" applyBorder="1" applyProtection="1"/>
    <xf numFmtId="10" fontId="2" fillId="0" borderId="0" xfId="3" applyNumberFormat="1" applyFill="1" applyBorder="1" applyProtection="1"/>
    <xf numFmtId="0" fontId="4" fillId="0" borderId="0" xfId="0" applyFont="1" applyFill="1" applyBorder="1" applyProtection="1"/>
    <xf numFmtId="0" fontId="18" fillId="0" borderId="0" xfId="0" applyFont="1" applyFill="1" applyProtection="1"/>
    <xf numFmtId="10" fontId="2" fillId="0" borderId="0" xfId="3" applyNumberFormat="1" applyFill="1" applyProtection="1"/>
    <xf numFmtId="0" fontId="11" fillId="0" borderId="0" xfId="0" applyFont="1" applyAlignment="1" applyProtection="1">
      <alignment horizontal="left"/>
    </xf>
    <xf numFmtId="0" fontId="0" fillId="0" borderId="0" xfId="0" applyProtection="1"/>
    <xf numFmtId="0" fontId="18" fillId="0" borderId="0" xfId="0" applyFont="1" applyProtection="1"/>
    <xf numFmtId="0" fontId="0" fillId="0" borderId="0" xfId="0" applyBorder="1" applyProtection="1"/>
    <xf numFmtId="0" fontId="0" fillId="4" borderId="0" xfId="0" applyFill="1" applyProtection="1"/>
    <xf numFmtId="0" fontId="18" fillId="0" borderId="0" xfId="0" applyFont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9" fontId="13" fillId="0" borderId="10" xfId="3" applyFont="1" applyBorder="1" applyAlignment="1" applyProtection="1">
      <alignment horizontal="center" vertical="center"/>
    </xf>
    <xf numFmtId="9" fontId="2" fillId="0" borderId="0" xfId="3" applyProtection="1"/>
    <xf numFmtId="10" fontId="2" fillId="0" borderId="0" xfId="3" applyNumberFormat="1" applyProtection="1"/>
    <xf numFmtId="0" fontId="18" fillId="0" borderId="1" xfId="0" applyFont="1" applyBorder="1" applyAlignment="1" applyProtection="1">
      <alignment horizontal="center" vertical="center"/>
    </xf>
    <xf numFmtId="10" fontId="12" fillId="0" borderId="17" xfId="3" applyNumberFormat="1" applyFont="1" applyBorder="1" applyAlignment="1" applyProtection="1">
      <alignment horizontal="center" vertical="center"/>
    </xf>
    <xf numFmtId="10" fontId="12" fillId="0" borderId="12" xfId="0" applyNumberFormat="1" applyFont="1" applyBorder="1" applyAlignment="1" applyProtection="1">
      <alignment horizontal="center" vertical="center"/>
    </xf>
    <xf numFmtId="9" fontId="13" fillId="0" borderId="12" xfId="3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8" fillId="0" borderId="0" xfId="0" applyFont="1" applyBorder="1" applyProtection="1"/>
    <xf numFmtId="10" fontId="13" fillId="0" borderId="0" xfId="0" applyNumberFormat="1" applyFont="1" applyFill="1" applyBorder="1" applyAlignment="1" applyProtection="1">
      <alignment horizontal="center" vertical="center"/>
    </xf>
    <xf numFmtId="10" fontId="12" fillId="5" borderId="19" xfId="3" applyNumberFormat="1" applyFont="1" applyFill="1" applyBorder="1" applyAlignment="1" applyProtection="1">
      <alignment horizontal="center" vertical="center"/>
    </xf>
    <xf numFmtId="10" fontId="12" fillId="5" borderId="18" xfId="3" applyNumberFormat="1" applyFont="1" applyFill="1" applyBorder="1" applyAlignment="1" applyProtection="1">
      <alignment horizontal="center" vertical="center"/>
    </xf>
    <xf numFmtId="10" fontId="12" fillId="5" borderId="17" xfId="3" applyNumberFormat="1" applyFont="1" applyFill="1" applyBorder="1" applyAlignment="1" applyProtection="1">
      <alignment horizontal="center" vertical="center"/>
    </xf>
    <xf numFmtId="10" fontId="12" fillId="5" borderId="12" xfId="3" applyNumberFormat="1" applyFont="1" applyFill="1" applyBorder="1" applyAlignment="1" applyProtection="1">
      <alignment horizontal="center" vertical="center"/>
    </xf>
    <xf numFmtId="10" fontId="18" fillId="0" borderId="0" xfId="0" applyNumberFormat="1" applyFont="1" applyFill="1" applyBorder="1" applyAlignment="1" applyProtection="1">
      <alignment horizontal="center" vertical="center"/>
    </xf>
    <xf numFmtId="10" fontId="12" fillId="0" borderId="12" xfId="3" applyNumberFormat="1" applyFont="1" applyBorder="1" applyAlignment="1" applyProtection="1">
      <alignment horizontal="center" vertical="center"/>
    </xf>
    <xf numFmtId="10" fontId="13" fillId="0" borderId="10" xfId="0" applyNumberFormat="1" applyFont="1" applyBorder="1" applyAlignment="1" applyProtection="1">
      <alignment horizontal="center" vertical="center"/>
    </xf>
    <xf numFmtId="9" fontId="0" fillId="0" borderId="0" xfId="0" applyNumberFormat="1" applyProtection="1"/>
    <xf numFmtId="0" fontId="30" fillId="0" borderId="0" xfId="0" applyFont="1" applyAlignment="1" applyProtection="1">
      <alignment horizontal="center" vertical="center"/>
    </xf>
    <xf numFmtId="9" fontId="13" fillId="5" borderId="11" xfId="3" applyFont="1" applyFill="1" applyBorder="1" applyAlignment="1" applyProtection="1">
      <alignment horizontal="center" vertical="center"/>
    </xf>
    <xf numFmtId="9" fontId="13" fillId="5" borderId="12" xfId="3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0" fontId="13" fillId="0" borderId="11" xfId="3" applyNumberFormat="1" applyFont="1" applyBorder="1" applyAlignment="1" applyProtection="1">
      <alignment horizontal="center" vertical="center"/>
    </xf>
    <xf numFmtId="10" fontId="13" fillId="0" borderId="1" xfId="3" applyNumberFormat="1" applyFont="1" applyBorder="1" applyAlignment="1" applyProtection="1">
      <alignment horizontal="center" vertical="center"/>
    </xf>
    <xf numFmtId="9" fontId="12" fillId="0" borderId="21" xfId="0" applyNumberFormat="1" applyFont="1" applyBorder="1" applyAlignment="1" applyProtection="1">
      <alignment horizontal="center" vertical="center"/>
    </xf>
    <xf numFmtId="165" fontId="0" fillId="0" borderId="0" xfId="0" applyNumberFormat="1" applyProtection="1"/>
    <xf numFmtId="10" fontId="12" fillId="0" borderId="1" xfId="3" applyNumberFormat="1" applyFont="1" applyBorder="1" applyAlignment="1" applyProtection="1">
      <alignment horizontal="center" vertical="center"/>
    </xf>
    <xf numFmtId="0" fontId="18" fillId="0" borderId="1" xfId="0" applyFont="1" applyBorder="1" applyProtection="1"/>
    <xf numFmtId="10" fontId="18" fillId="0" borderId="1" xfId="0" applyNumberFormat="1" applyFont="1" applyBorder="1" applyAlignment="1" applyProtection="1">
      <alignment horizontal="center" vertical="center"/>
    </xf>
    <xf numFmtId="10" fontId="0" fillId="0" borderId="1" xfId="0" applyNumberFormat="1" applyBorder="1" applyProtection="1"/>
    <xf numFmtId="0" fontId="0" fillId="0" borderId="1" xfId="0" applyBorder="1" applyProtection="1"/>
    <xf numFmtId="10" fontId="12" fillId="0" borderId="0" xfId="3" applyNumberFormat="1" applyFont="1" applyBorder="1" applyAlignment="1" applyProtection="1">
      <alignment horizontal="center"/>
    </xf>
    <xf numFmtId="10" fontId="0" fillId="0" borderId="0" xfId="0" applyNumberForma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18" fillId="0" borderId="0" xfId="0" applyFont="1" applyAlignment="1" applyProtection="1">
      <alignment horizontal="left"/>
    </xf>
    <xf numFmtId="0" fontId="9" fillId="0" borderId="0" xfId="0" applyFont="1" applyProtection="1"/>
    <xf numFmtId="0" fontId="9" fillId="0" borderId="0" xfId="0" applyFont="1" applyBorder="1" applyProtection="1"/>
    <xf numFmtId="166" fontId="9" fillId="0" borderId="0" xfId="0" applyNumberFormat="1" applyFont="1" applyBorder="1" applyProtection="1"/>
    <xf numFmtId="0" fontId="9" fillId="0" borderId="0" xfId="0" applyFont="1" applyAlignment="1" applyProtection="1">
      <alignment horizontal="right"/>
    </xf>
    <xf numFmtId="0" fontId="17" fillId="0" borderId="0" xfId="0" applyFont="1" applyBorder="1" applyProtection="1"/>
    <xf numFmtId="165" fontId="9" fillId="0" borderId="0" xfId="0" applyNumberFormat="1" applyFont="1" applyBorder="1" applyProtection="1"/>
    <xf numFmtId="166" fontId="9" fillId="0" borderId="0" xfId="0" applyNumberFormat="1" applyFont="1" applyProtection="1"/>
    <xf numFmtId="0" fontId="0" fillId="0" borderId="0" xfId="0" applyAlignment="1" applyProtection="1">
      <alignment horizontal="right"/>
    </xf>
    <xf numFmtId="0" fontId="9" fillId="0" borderId="1" xfId="0" applyFont="1" applyBorder="1" applyProtection="1"/>
    <xf numFmtId="0" fontId="0" fillId="0" borderId="0" xfId="0" applyBorder="1" applyAlignment="1" applyProtection="1">
      <alignment horizontal="right"/>
    </xf>
    <xf numFmtId="0" fontId="16" fillId="0" borderId="0" xfId="0" applyFont="1" applyBorder="1" applyProtection="1"/>
    <xf numFmtId="166" fontId="0" fillId="0" borderId="0" xfId="0" applyNumberFormat="1" applyBorder="1" applyProtection="1"/>
    <xf numFmtId="166" fontId="0" fillId="0" borderId="0" xfId="0" applyNumberForma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10" fontId="0" fillId="0" borderId="0" xfId="0" applyNumberFormat="1" applyBorder="1" applyProtection="1"/>
    <xf numFmtId="0" fontId="19" fillId="0" borderId="0" xfId="0" quotePrefix="1" applyFont="1" applyProtection="1"/>
    <xf numFmtId="165" fontId="9" fillId="0" borderId="0" xfId="0" applyNumberFormat="1" applyFont="1" applyProtection="1"/>
    <xf numFmtId="0" fontId="9" fillId="0" borderId="13" xfId="0" applyFont="1" applyBorder="1" applyAlignment="1" applyProtection="1">
      <alignment horizontal="center"/>
    </xf>
    <xf numFmtId="165" fontId="0" fillId="0" borderId="2" xfId="0" applyNumberFormat="1" applyBorder="1" applyProtection="1"/>
    <xf numFmtId="0" fontId="0" fillId="0" borderId="3" xfId="0" applyBorder="1" applyProtection="1"/>
    <xf numFmtId="0" fontId="9" fillId="0" borderId="14" xfId="0" applyFont="1" applyBorder="1" applyAlignment="1" applyProtection="1">
      <alignment horizontal="center"/>
    </xf>
    <xf numFmtId="165" fontId="0" fillId="0" borderId="0" xfId="0" applyNumberForma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165" fontId="9" fillId="0" borderId="5" xfId="0" applyNumberFormat="1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justify" vertical="center" wrapText="1"/>
    </xf>
    <xf numFmtId="0" fontId="17" fillId="0" borderId="0" xfId="0" applyFont="1" applyAlignment="1" applyProtection="1">
      <alignment horizontal="right"/>
    </xf>
    <xf numFmtId="0" fontId="0" fillId="0" borderId="2" xfId="0" applyBorder="1" applyProtection="1"/>
    <xf numFmtId="164" fontId="9" fillId="0" borderId="4" xfId="0" applyNumberFormat="1" applyFont="1" applyBorder="1" applyAlignment="1" applyProtection="1">
      <alignment horizontal="left"/>
    </xf>
    <xf numFmtId="0" fontId="20" fillId="0" borderId="15" xfId="0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0" borderId="4" xfId="0" applyNumberFormat="1" applyBorder="1" applyProtection="1"/>
    <xf numFmtId="165" fontId="0" fillId="0" borderId="5" xfId="0" applyNumberFormat="1" applyBorder="1" applyProtection="1"/>
    <xf numFmtId="165" fontId="23" fillId="0" borderId="0" xfId="0" applyNumberFormat="1" applyFont="1" applyBorder="1" applyProtection="1"/>
    <xf numFmtId="0" fontId="23" fillId="0" borderId="0" xfId="0" applyFont="1" applyBorder="1" applyProtection="1"/>
    <xf numFmtId="0" fontId="23" fillId="0" borderId="0" xfId="0" applyFont="1" applyProtection="1"/>
    <xf numFmtId="0" fontId="18" fillId="0" borderId="5" xfId="0" applyFont="1" applyBorder="1" applyProtection="1"/>
    <xf numFmtId="0" fontId="0" fillId="0" borderId="5" xfId="0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165" fontId="0" fillId="0" borderId="23" xfId="0" applyNumberFormat="1" applyBorder="1" applyProtection="1"/>
    <xf numFmtId="0" fontId="9" fillId="0" borderId="13" xfId="0" applyFont="1" applyBorder="1" applyProtection="1"/>
    <xf numFmtId="0" fontId="9" fillId="0" borderId="14" xfId="0" applyFont="1" applyBorder="1" applyProtection="1"/>
    <xf numFmtId="0" fontId="9" fillId="0" borderId="15" xfId="0" applyFont="1" applyBorder="1" applyProtection="1"/>
    <xf numFmtId="0" fontId="9" fillId="0" borderId="5" xfId="0" applyFont="1" applyBorder="1" applyProtection="1"/>
    <xf numFmtId="0" fontId="2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25" fillId="0" borderId="0" xfId="0" applyFont="1" applyProtection="1"/>
    <xf numFmtId="0" fontId="25" fillId="4" borderId="0" xfId="0" applyFont="1" applyFill="1" applyProtection="1"/>
    <xf numFmtId="165" fontId="0" fillId="0" borderId="2" xfId="0" quotePrefix="1" applyNumberFormat="1" applyBorder="1" applyProtection="1"/>
    <xf numFmtId="164" fontId="0" fillId="0" borderId="2" xfId="0" applyNumberFormat="1" applyBorder="1" applyProtection="1"/>
    <xf numFmtId="0" fontId="0" fillId="0" borderId="5" xfId="0" applyBorder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0" fontId="4" fillId="0" borderId="0" xfId="0" quotePrefix="1" applyFont="1" applyProtection="1"/>
    <xf numFmtId="168" fontId="0" fillId="0" borderId="0" xfId="0" applyNumberFormat="1" applyProtection="1"/>
    <xf numFmtId="0" fontId="4" fillId="0" borderId="5" xfId="0" quotePrefix="1" applyFont="1" applyBorder="1" applyProtection="1"/>
    <xf numFmtId="165" fontId="0" fillId="0" borderId="5" xfId="0" applyNumberFormat="1" applyBorder="1" applyAlignment="1" applyProtection="1">
      <alignment horizontal="right"/>
    </xf>
    <xf numFmtId="0" fontId="4" fillId="0" borderId="0" xfId="0" quotePrefix="1" applyFont="1" applyBorder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left" vertical="center"/>
    </xf>
    <xf numFmtId="10" fontId="13" fillId="0" borderId="0" xfId="3" applyNumberFormat="1" applyFont="1" applyBorder="1" applyAlignment="1" applyProtection="1">
      <alignment horizontal="center" vertical="center"/>
    </xf>
    <xf numFmtId="9" fontId="13" fillId="5" borderId="0" xfId="3" applyFont="1" applyFill="1" applyBorder="1" applyAlignment="1" applyProtection="1">
      <alignment horizontal="center" vertical="center"/>
    </xf>
    <xf numFmtId="9" fontId="12" fillId="0" borderId="0" xfId="0" applyNumberFormat="1" applyFont="1" applyBorder="1" applyAlignment="1" applyProtection="1">
      <alignment horizontal="center" vertical="center"/>
    </xf>
    <xf numFmtId="164" fontId="18" fillId="0" borderId="0" xfId="0" applyNumberFormat="1" applyFont="1" applyAlignment="1" applyProtection="1">
      <alignment horizontal="left"/>
    </xf>
    <xf numFmtId="164" fontId="18" fillId="0" borderId="0" xfId="0" applyNumberFormat="1" applyFont="1" applyAlignment="1" applyProtection="1">
      <alignment horizontal="center"/>
    </xf>
    <xf numFmtId="0" fontId="9" fillId="0" borderId="5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/>
    </xf>
    <xf numFmtId="166" fontId="9" fillId="0" borderId="0" xfId="0" applyNumberFormat="1" applyFont="1" applyBorder="1" applyAlignment="1" applyProtection="1">
      <alignment horizontal="center"/>
    </xf>
    <xf numFmtId="166" fontId="9" fillId="0" borderId="5" xfId="0" applyNumberFormat="1" applyFont="1" applyBorder="1" applyAlignment="1" applyProtection="1">
      <alignment horizontal="center"/>
    </xf>
    <xf numFmtId="165" fontId="18" fillId="0" borderId="0" xfId="0" applyNumberFormat="1" applyFont="1" applyBorder="1" applyProtection="1"/>
    <xf numFmtId="166" fontId="18" fillId="0" borderId="0" xfId="0" applyNumberFormat="1" applyFont="1" applyBorder="1" applyAlignment="1" applyProtection="1">
      <alignment horizontal="center"/>
    </xf>
    <xf numFmtId="164" fontId="9" fillId="0" borderId="0" xfId="0" quotePrefix="1" applyNumberFormat="1" applyFont="1" applyBorder="1" applyProtection="1"/>
    <xf numFmtId="164" fontId="9" fillId="0" borderId="0" xfId="0" applyNumberFormat="1" applyFont="1" applyBorder="1" applyProtection="1"/>
    <xf numFmtId="164" fontId="0" fillId="0" borderId="0" xfId="0" applyNumberFormat="1" applyBorder="1" applyProtection="1"/>
    <xf numFmtId="164" fontId="18" fillId="0" borderId="0" xfId="0" applyNumberFormat="1" applyFont="1" applyBorder="1" applyProtection="1"/>
    <xf numFmtId="164" fontId="9" fillId="0" borderId="5" xfId="0" applyNumberFormat="1" applyFont="1" applyBorder="1" applyAlignment="1" applyProtection="1">
      <alignment horizontal="right"/>
    </xf>
    <xf numFmtId="166" fontId="9" fillId="0" borderId="5" xfId="0" applyNumberFormat="1" applyFont="1" applyBorder="1" applyAlignment="1" applyProtection="1">
      <alignment horizontal="left"/>
    </xf>
    <xf numFmtId="0" fontId="18" fillId="6" borderId="16" xfId="0" applyFont="1" applyFill="1" applyBorder="1" applyAlignment="1" applyProtection="1">
      <alignment horizontal="right"/>
      <protection locked="0"/>
    </xf>
    <xf numFmtId="9" fontId="18" fillId="6" borderId="0" xfId="3" applyFont="1" applyFill="1" applyAlignment="1" applyProtection="1">
      <alignment horizontal="center"/>
      <protection locked="0"/>
    </xf>
    <xf numFmtId="0" fontId="18" fillId="6" borderId="24" xfId="0" applyFont="1" applyFill="1" applyBorder="1" applyAlignment="1" applyProtection="1">
      <alignment horizontal="center" vertical="center"/>
      <protection locked="0"/>
    </xf>
    <xf numFmtId="10" fontId="12" fillId="0" borderId="24" xfId="3" applyNumberFormat="1" applyFont="1" applyBorder="1" applyAlignment="1" applyProtection="1">
      <alignment horizontal="center" vertical="center"/>
    </xf>
    <xf numFmtId="10" fontId="12" fillId="0" borderId="25" xfId="0" applyNumberFormat="1" applyFont="1" applyBorder="1" applyAlignment="1" applyProtection="1">
      <alignment horizontal="center" vertical="center"/>
    </xf>
    <xf numFmtId="164" fontId="0" fillId="0" borderId="0" xfId="0" applyNumberFormat="1" applyProtection="1"/>
    <xf numFmtId="0" fontId="34" fillId="0" borderId="2" xfId="0" applyFont="1" applyBorder="1" applyProtection="1"/>
    <xf numFmtId="0" fontId="34" fillId="0" borderId="0" xfId="0" applyFont="1" applyBorder="1" applyAlignment="1" applyProtection="1">
      <alignment horizontal="right"/>
    </xf>
    <xf numFmtId="0" fontId="35" fillId="0" borderId="0" xfId="0" applyFont="1" applyProtection="1"/>
    <xf numFmtId="0" fontId="0" fillId="0" borderId="1" xfId="0" applyFill="1" applyBorder="1" applyProtection="1"/>
    <xf numFmtId="0" fontId="9" fillId="0" borderId="0" xfId="0" applyFont="1" applyAlignment="1" applyProtection="1">
      <alignment vertical="top"/>
    </xf>
    <xf numFmtId="165" fontId="9" fillId="0" borderId="0" xfId="0" applyNumberFormat="1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13" xfId="0" applyBorder="1" applyAlignment="1" applyProtection="1">
      <alignment horizontal="center" vertical="top"/>
    </xf>
    <xf numFmtId="0" fontId="0" fillId="0" borderId="2" xfId="0" applyBorder="1" applyAlignment="1" applyProtection="1">
      <alignment vertical="top"/>
    </xf>
    <xf numFmtId="0" fontId="9" fillId="0" borderId="14" xfId="0" applyFont="1" applyBorder="1" applyAlignment="1" applyProtection="1">
      <alignment horizontal="center" vertical="top"/>
    </xf>
    <xf numFmtId="165" fontId="0" fillId="0" borderId="0" xfId="0" applyNumberForma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0" fillId="0" borderId="15" xfId="0" applyBorder="1" applyAlignment="1" applyProtection="1">
      <alignment horizontal="center" vertical="top"/>
    </xf>
    <xf numFmtId="165" fontId="0" fillId="0" borderId="5" xfId="0" applyNumberFormat="1" applyBorder="1" applyAlignment="1" applyProtection="1">
      <alignment vertical="top"/>
    </xf>
    <xf numFmtId="0" fontId="23" fillId="0" borderId="0" xfId="0" applyFont="1" applyBorder="1" applyAlignment="1" applyProtection="1">
      <alignment horizontal="center" vertical="top"/>
    </xf>
    <xf numFmtId="168" fontId="23" fillId="0" borderId="0" xfId="0" applyNumberFormat="1" applyFont="1" applyAlignment="1" applyProtection="1">
      <alignment vertical="top"/>
    </xf>
    <xf numFmtId="165" fontId="23" fillId="0" borderId="0" xfId="0" applyNumberFormat="1" applyFont="1" applyBorder="1" applyAlignment="1" applyProtection="1">
      <alignment vertical="top"/>
    </xf>
    <xf numFmtId="165" fontId="23" fillId="0" borderId="0" xfId="0" applyNumberFormat="1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9" fillId="0" borderId="26" xfId="0" applyFont="1" applyBorder="1" applyAlignment="1" applyProtection="1">
      <alignment horizontal="right"/>
    </xf>
    <xf numFmtId="0" fontId="0" fillId="0" borderId="0" xfId="0" applyAlignment="1" applyProtection="1">
      <alignment vertical="center"/>
    </xf>
    <xf numFmtId="165" fontId="0" fillId="0" borderId="5" xfId="0" applyNumberForma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4" borderId="0" xfId="0" applyFont="1" applyFill="1" applyAlignment="1" applyProtection="1">
      <alignment vertical="center"/>
    </xf>
    <xf numFmtId="0" fontId="36" fillId="5" borderId="0" xfId="0" applyFont="1" applyFill="1" applyProtection="1"/>
    <xf numFmtId="0" fontId="27" fillId="5" borderId="0" xfId="0" applyFont="1" applyFill="1" applyAlignment="1" applyProtection="1">
      <alignment horizontal="right"/>
    </xf>
    <xf numFmtId="0" fontId="27" fillId="5" borderId="0" xfId="0" applyFont="1" applyFill="1" applyProtection="1"/>
    <xf numFmtId="0" fontId="36" fillId="3" borderId="0" xfId="0" applyFont="1" applyFill="1" applyProtection="1"/>
    <xf numFmtId="0" fontId="27" fillId="3" borderId="0" xfId="0" applyFont="1" applyFill="1" applyProtection="1"/>
    <xf numFmtId="0" fontId="37" fillId="5" borderId="0" xfId="0" applyFont="1" applyFill="1" applyAlignment="1" applyProtection="1">
      <alignment horizontal="center"/>
    </xf>
    <xf numFmtId="0" fontId="38" fillId="5" borderId="0" xfId="0" applyFont="1" applyFill="1" applyProtection="1"/>
    <xf numFmtId="0" fontId="37" fillId="5" borderId="0" xfId="0" applyFont="1" applyFill="1" applyProtection="1"/>
    <xf numFmtId="0" fontId="29" fillId="5" borderId="0" xfId="1" applyFont="1" applyFill="1" applyAlignment="1" applyProtection="1"/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Protection="1"/>
    <xf numFmtId="0" fontId="18" fillId="5" borderId="0" xfId="0" applyFont="1" applyFill="1" applyBorder="1" applyAlignment="1" applyProtection="1">
      <alignment horizontal="right"/>
      <protection locked="0"/>
    </xf>
    <xf numFmtId="0" fontId="39" fillId="5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Alignment="1" applyProtection="1">
      <alignment horizontal="left"/>
    </xf>
    <xf numFmtId="0" fontId="39" fillId="5" borderId="0" xfId="0" applyFont="1" applyFill="1" applyAlignment="1" applyProtection="1">
      <alignment horizontal="left"/>
    </xf>
    <xf numFmtId="0" fontId="39" fillId="0" borderId="0" xfId="0" applyFont="1" applyAlignment="1" applyProtection="1">
      <alignment horizontal="left"/>
    </xf>
    <xf numFmtId="0" fontId="39" fillId="0" borderId="0" xfId="0" applyFont="1" applyProtection="1"/>
    <xf numFmtId="0" fontId="39" fillId="6" borderId="0" xfId="0" applyFont="1" applyFill="1" applyAlignment="1" applyProtection="1">
      <alignment horizontal="center"/>
      <protection locked="0"/>
    </xf>
    <xf numFmtId="0" fontId="39" fillId="5" borderId="0" xfId="0" applyFont="1" applyFill="1" applyProtection="1"/>
    <xf numFmtId="0" fontId="4" fillId="0" borderId="0" xfId="0" quotePrefix="1" applyFont="1" applyAlignment="1" applyProtection="1">
      <alignment horizontal="justify" vertical="top" wrapText="1"/>
    </xf>
    <xf numFmtId="0" fontId="4" fillId="0" borderId="0" xfId="0" applyFont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1" xfId="0" applyFont="1" applyBorder="1" applyAlignment="1" applyProtection="1">
      <alignment horizontal="justify" vertical="top" wrapText="1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vertical="top" wrapText="1"/>
    </xf>
    <xf numFmtId="0" fontId="46" fillId="0" borderId="0" xfId="0" applyFont="1" applyBorder="1" applyProtection="1"/>
    <xf numFmtId="0" fontId="18" fillId="5" borderId="0" xfId="0" applyFont="1" applyFill="1" applyBorder="1" applyAlignment="1" applyProtection="1">
      <alignment horizontal="center" vertical="center"/>
    </xf>
    <xf numFmtId="10" fontId="12" fillId="0" borderId="25" xfId="3" applyNumberFormat="1" applyFont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vertical="center"/>
    </xf>
    <xf numFmtId="0" fontId="18" fillId="5" borderId="1" xfId="0" applyFont="1" applyFill="1" applyBorder="1" applyAlignment="1" applyProtection="1">
      <alignment vertical="center"/>
    </xf>
    <xf numFmtId="0" fontId="18" fillId="5" borderId="1" xfId="0" applyFont="1" applyFill="1" applyBorder="1" applyAlignment="1" applyProtection="1">
      <alignment horizontal="center" vertical="center"/>
    </xf>
    <xf numFmtId="166" fontId="0" fillId="0" borderId="0" xfId="0" applyNumberFormat="1" applyProtection="1"/>
    <xf numFmtId="168" fontId="0" fillId="0" borderId="0" xfId="0" applyNumberFormat="1" applyBorder="1" applyProtection="1"/>
    <xf numFmtId="164" fontId="0" fillId="0" borderId="16" xfId="0" applyNumberFormat="1" applyBorder="1" applyProtection="1"/>
    <xf numFmtId="0" fontId="0" fillId="0" borderId="0" xfId="0" quotePrefix="1" applyProtection="1"/>
    <xf numFmtId="164" fontId="0" fillId="0" borderId="0" xfId="0" quotePrefix="1" applyNumberFormat="1" applyProtection="1"/>
    <xf numFmtId="164" fontId="9" fillId="0" borderId="16" xfId="0" applyNumberFormat="1" applyFont="1" applyBorder="1" applyProtection="1"/>
    <xf numFmtId="0" fontId="18" fillId="0" borderId="0" xfId="0" applyFont="1" applyAlignment="1" applyProtection="1">
      <alignment horizontal="right"/>
    </xf>
    <xf numFmtId="165" fontId="9" fillId="0" borderId="0" xfId="0" applyNumberFormat="1" applyFont="1" applyBorder="1" applyAlignment="1" applyProtection="1">
      <alignment vertical="top"/>
    </xf>
    <xf numFmtId="164" fontId="0" fillId="0" borderId="0" xfId="0" applyNumberFormat="1" applyBorder="1" applyAlignment="1" applyProtection="1">
      <alignment horizontal="left"/>
    </xf>
    <xf numFmtId="0" fontId="18" fillId="0" borderId="0" xfId="0" applyFont="1" applyBorder="1" applyAlignment="1" applyProtection="1">
      <alignment horizontal="right"/>
    </xf>
    <xf numFmtId="0" fontId="0" fillId="0" borderId="0" xfId="0" applyFont="1" applyFill="1" applyBorder="1" applyProtection="1"/>
    <xf numFmtId="164" fontId="18" fillId="0" borderId="0" xfId="0" applyNumberFormat="1" applyFont="1" applyBorder="1" applyAlignment="1" applyProtection="1">
      <alignment horizontal="right" vertical="top"/>
    </xf>
    <xf numFmtId="164" fontId="18" fillId="0" borderId="0" xfId="0" applyNumberFormat="1" applyFont="1" applyBorder="1" applyAlignment="1" applyProtection="1">
      <alignment horizontal="right"/>
    </xf>
    <xf numFmtId="166" fontId="9" fillId="0" borderId="16" xfId="0" applyNumberFormat="1" applyFont="1" applyBorder="1" applyProtection="1"/>
    <xf numFmtId="168" fontId="9" fillId="0" borderId="0" xfId="0" quotePrefix="1" applyNumberFormat="1" applyFont="1" applyProtection="1"/>
    <xf numFmtId="168" fontId="9" fillId="0" borderId="16" xfId="0" applyNumberFormat="1" applyFont="1" applyBorder="1" applyProtection="1"/>
    <xf numFmtId="164" fontId="18" fillId="0" borderId="0" xfId="0" applyNumberFormat="1" applyFont="1" applyProtection="1"/>
    <xf numFmtId="164" fontId="9" fillId="0" borderId="16" xfId="0" quotePrefix="1" applyNumberFormat="1" applyFont="1" applyBorder="1" applyProtection="1"/>
    <xf numFmtId="164" fontId="18" fillId="0" borderId="0" xfId="0" quotePrefix="1" applyNumberFormat="1" applyFont="1" applyBorder="1" applyAlignment="1" applyProtection="1">
      <alignment horizontal="right"/>
    </xf>
    <xf numFmtId="167" fontId="9" fillId="0" borderId="0" xfId="0" quotePrefix="1" applyNumberFormat="1" applyFont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vertical="center"/>
    </xf>
    <xf numFmtId="0" fontId="47" fillId="0" borderId="0" xfId="0" applyFont="1" applyFill="1" applyBorder="1" applyProtection="1"/>
    <xf numFmtId="0" fontId="47" fillId="0" borderId="0" xfId="0" applyFont="1" applyFill="1" applyProtection="1"/>
    <xf numFmtId="0" fontId="47" fillId="7" borderId="0" xfId="0" applyFont="1" applyFill="1" applyProtection="1"/>
    <xf numFmtId="0" fontId="47" fillId="0" borderId="0" xfId="0" applyFont="1" applyBorder="1" applyProtection="1"/>
    <xf numFmtId="0" fontId="47" fillId="0" borderId="0" xfId="0" applyFont="1" applyProtection="1"/>
    <xf numFmtId="0" fontId="47" fillId="0" borderId="0" xfId="0" applyFont="1" applyBorder="1" applyAlignment="1" applyProtection="1">
      <alignment horizontal="right"/>
    </xf>
    <xf numFmtId="0" fontId="48" fillId="0" borderId="0" xfId="0" applyFont="1" applyProtection="1"/>
    <xf numFmtId="0" fontId="47" fillId="0" borderId="0" xfId="0" applyFont="1" applyAlignment="1" applyProtection="1">
      <alignment horizontal="right"/>
    </xf>
    <xf numFmtId="165" fontId="47" fillId="0" borderId="0" xfId="0" applyNumberFormat="1" applyFont="1" applyProtection="1"/>
    <xf numFmtId="2" fontId="47" fillId="0" borderId="16" xfId="0" applyNumberFormat="1" applyFont="1" applyBorder="1" applyProtection="1"/>
    <xf numFmtId="2" fontId="47" fillId="0" borderId="0" xfId="0" applyNumberFormat="1" applyFont="1" applyProtection="1"/>
    <xf numFmtId="9" fontId="47" fillId="0" borderId="0" xfId="3" applyFont="1" applyAlignment="1" applyProtection="1">
      <alignment horizontal="right"/>
    </xf>
    <xf numFmtId="10" fontId="47" fillId="0" borderId="0" xfId="3" applyNumberFormat="1" applyFont="1" applyProtection="1"/>
    <xf numFmtId="0" fontId="47" fillId="7" borderId="0" xfId="0" applyFont="1" applyFill="1" applyBorder="1" applyProtection="1"/>
    <xf numFmtId="0" fontId="47" fillId="0" borderId="16" xfId="0" applyFont="1" applyBorder="1" applyProtection="1"/>
    <xf numFmtId="9" fontId="47" fillId="0" borderId="0" xfId="0" applyNumberFormat="1" applyFont="1" applyProtection="1"/>
    <xf numFmtId="9" fontId="47" fillId="0" borderId="0" xfId="0" applyNumberFormat="1" applyFont="1" applyBorder="1" applyAlignment="1" applyProtection="1">
      <alignment horizontal="right"/>
    </xf>
    <xf numFmtId="0" fontId="48" fillId="0" borderId="0" xfId="0" applyFont="1" applyBorder="1" applyProtection="1"/>
    <xf numFmtId="10" fontId="47" fillId="0" borderId="0" xfId="0" applyNumberFormat="1" applyFont="1" applyBorder="1" applyProtection="1"/>
    <xf numFmtId="165" fontId="47" fillId="7" borderId="0" xfId="0" quotePrefix="1" applyNumberFormat="1" applyFont="1" applyFill="1" applyBorder="1" applyProtection="1"/>
    <xf numFmtId="0" fontId="48" fillId="7" borderId="3" xfId="0" quotePrefix="1" applyFont="1" applyFill="1" applyBorder="1" applyProtection="1"/>
    <xf numFmtId="0" fontId="47" fillId="7" borderId="15" xfId="0" quotePrefix="1" applyFont="1" applyFill="1" applyBorder="1" applyProtection="1"/>
    <xf numFmtId="0" fontId="48" fillId="7" borderId="16" xfId="0" applyFont="1" applyFill="1" applyBorder="1" applyAlignment="1" applyProtection="1">
      <alignment horizontal="right"/>
    </xf>
    <xf numFmtId="0" fontId="48" fillId="7" borderId="16" xfId="0" applyFont="1" applyFill="1" applyBorder="1" applyProtection="1"/>
    <xf numFmtId="0" fontId="47" fillId="0" borderId="1" xfId="0" applyFont="1" applyBorder="1" applyProtection="1"/>
    <xf numFmtId="0" fontId="49" fillId="0" borderId="5" xfId="0" applyFont="1" applyBorder="1" applyAlignment="1" applyProtection="1">
      <alignment horizontal="right"/>
    </xf>
    <xf numFmtId="0" fontId="46" fillId="0" borderId="27" xfId="0" applyFont="1" applyBorder="1" applyProtection="1"/>
    <xf numFmtId="0" fontId="46" fillId="0" borderId="28" xfId="0" applyFont="1" applyBorder="1" applyProtection="1"/>
    <xf numFmtId="0" fontId="46" fillId="0" borderId="29" xfId="0" applyFont="1" applyBorder="1" applyProtection="1"/>
    <xf numFmtId="0" fontId="18" fillId="0" borderId="10" xfId="0" applyFont="1" applyBorder="1" applyAlignment="1" applyProtection="1">
      <alignment horizontal="center" vertical="center"/>
    </xf>
    <xf numFmtId="166" fontId="18" fillId="0" borderId="0" xfId="0" applyNumberFormat="1" applyFont="1" applyBorder="1" applyProtection="1"/>
    <xf numFmtId="0" fontId="9" fillId="0" borderId="0" xfId="0" applyFont="1" applyBorder="1" applyAlignment="1" applyProtection="1">
      <alignment horizontal="right" vertical="top"/>
    </xf>
    <xf numFmtId="164" fontId="9" fillId="0" borderId="0" xfId="0" applyNumberFormat="1" applyFont="1" applyBorder="1" applyAlignment="1" applyProtection="1">
      <alignment horizontal="left"/>
    </xf>
    <xf numFmtId="0" fontId="41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vertical="top"/>
    </xf>
    <xf numFmtId="0" fontId="48" fillId="0" borderId="0" xfId="0" applyFont="1" applyBorder="1" applyAlignment="1" applyProtection="1">
      <alignment horizontal="right"/>
    </xf>
    <xf numFmtId="0" fontId="48" fillId="0" borderId="0" xfId="0" applyFont="1" applyAlignment="1" applyProtection="1">
      <alignment horizontal="right"/>
    </xf>
    <xf numFmtId="165" fontId="48" fillId="0" borderId="0" xfId="0" applyNumberFormat="1" applyFont="1" applyBorder="1" applyAlignment="1" applyProtection="1">
      <alignment vertical="top"/>
    </xf>
    <xf numFmtId="167" fontId="48" fillId="0" borderId="0" xfId="0" applyNumberFormat="1" applyFont="1" applyBorder="1" applyAlignment="1" applyProtection="1">
      <alignment horizontal="right"/>
    </xf>
    <xf numFmtId="165" fontId="47" fillId="0" borderId="0" xfId="0" applyNumberFormat="1" applyFont="1" applyBorder="1" applyProtection="1"/>
    <xf numFmtId="167" fontId="48" fillId="0" borderId="0" xfId="0" quotePrefix="1" applyNumberFormat="1" applyFont="1" applyFill="1" applyBorder="1" applyAlignment="1" applyProtection="1">
      <alignment horizontal="right"/>
    </xf>
    <xf numFmtId="167" fontId="48" fillId="0" borderId="0" xfId="0" applyNumberFormat="1" applyFont="1" applyFill="1" applyBorder="1" applyAlignment="1" applyProtection="1">
      <alignment horizontal="right"/>
    </xf>
    <xf numFmtId="165" fontId="48" fillId="0" borderId="0" xfId="0" applyNumberFormat="1" applyFont="1" applyFill="1" applyBorder="1" applyAlignment="1" applyProtection="1">
      <alignment horizontal="right"/>
    </xf>
    <xf numFmtId="167" fontId="47" fillId="0" borderId="0" xfId="0" applyNumberFormat="1" applyFont="1" applyFill="1" applyBorder="1" applyAlignment="1" applyProtection="1">
      <alignment horizontal="right"/>
    </xf>
    <xf numFmtId="165" fontId="48" fillId="0" borderId="0" xfId="0" applyNumberFormat="1" applyFont="1" applyBorder="1" applyProtection="1"/>
    <xf numFmtId="167" fontId="48" fillId="0" borderId="0" xfId="0" applyNumberFormat="1" applyFont="1" applyBorder="1" applyProtection="1"/>
    <xf numFmtId="167" fontId="48" fillId="0" borderId="0" xfId="0" quotePrefix="1" applyNumberFormat="1" applyFont="1" applyBorder="1" applyProtection="1"/>
    <xf numFmtId="165" fontId="18" fillId="0" borderId="0" xfId="0" applyNumberFormat="1" applyFont="1" applyBorder="1" applyAlignment="1" applyProtection="1">
      <alignment horizontal="right"/>
    </xf>
    <xf numFmtId="0" fontId="19" fillId="0" borderId="5" xfId="0" quotePrefix="1" applyFont="1" applyBorder="1" applyProtection="1"/>
    <xf numFmtId="0" fontId="4" fillId="0" borderId="0" xfId="0" applyFont="1" applyBorder="1" applyAlignment="1" applyProtection="1">
      <alignment vertical="center" wrapText="1"/>
    </xf>
    <xf numFmtId="0" fontId="43" fillId="0" borderId="0" xfId="2"/>
    <xf numFmtId="0" fontId="45" fillId="0" borderId="0" xfId="2" applyFont="1"/>
    <xf numFmtId="0" fontId="50" fillId="0" borderId="0" xfId="2" applyFont="1"/>
    <xf numFmtId="0" fontId="50" fillId="0" borderId="0" xfId="2" applyFont="1" applyAlignment="1">
      <alignment horizontal="right"/>
    </xf>
    <xf numFmtId="0" fontId="43" fillId="0" borderId="0" xfId="2" applyAlignment="1">
      <alignment horizontal="right"/>
    </xf>
    <xf numFmtId="0" fontId="43" fillId="0" borderId="14" xfId="2" applyBorder="1"/>
    <xf numFmtId="0" fontId="43" fillId="0" borderId="15" xfId="2" applyBorder="1"/>
    <xf numFmtId="164" fontId="50" fillId="0" borderId="1" xfId="2" applyNumberFormat="1" applyFont="1" applyBorder="1"/>
    <xf numFmtId="0" fontId="50" fillId="0" borderId="1" xfId="2" applyFont="1" applyBorder="1" applyAlignment="1">
      <alignment horizontal="right"/>
    </xf>
    <xf numFmtId="0" fontId="43" fillId="0" borderId="1" xfId="2" applyBorder="1" applyAlignment="1">
      <alignment horizontal="right"/>
    </xf>
    <xf numFmtId="169" fontId="44" fillId="0" borderId="1" xfId="2" applyNumberFormat="1" applyFont="1" applyBorder="1" applyAlignment="1">
      <alignment horizontal="right"/>
    </xf>
    <xf numFmtId="170" fontId="44" fillId="0" borderId="1" xfId="2" applyNumberFormat="1" applyFont="1" applyBorder="1"/>
    <xf numFmtId="0" fontId="51" fillId="0" borderId="29" xfId="2" applyFont="1" applyBorder="1" applyAlignment="1">
      <alignment horizontal="right"/>
    </xf>
    <xf numFmtId="0" fontId="52" fillId="0" borderId="0" xfId="2" applyFont="1"/>
    <xf numFmtId="0" fontId="51" fillId="0" borderId="16" xfId="2" applyFont="1" applyBorder="1" applyAlignment="1">
      <alignment horizontal="right"/>
    </xf>
    <xf numFmtId="164" fontId="43" fillId="0" borderId="0" xfId="2" applyNumberFormat="1"/>
    <xf numFmtId="0" fontId="53" fillId="0" borderId="0" xfId="2" applyFont="1" applyAlignment="1">
      <alignment horizontal="right"/>
    </xf>
    <xf numFmtId="0" fontId="53" fillId="0" borderId="0" xfId="2" applyFont="1" applyAlignment="1">
      <alignment horizontal="left"/>
    </xf>
    <xf numFmtId="170" fontId="43" fillId="0" borderId="0" xfId="2" applyNumberFormat="1"/>
    <xf numFmtId="0" fontId="43" fillId="8" borderId="0" xfId="2" applyFill="1"/>
    <xf numFmtId="0" fontId="52" fillId="0" borderId="0" xfId="2" applyFont="1" applyAlignment="1">
      <alignment horizontal="right"/>
    </xf>
    <xf numFmtId="0" fontId="52" fillId="0" borderId="1" xfId="2" applyFont="1" applyBorder="1" applyAlignment="1">
      <alignment horizontal="right"/>
    </xf>
    <xf numFmtId="0" fontId="52" fillId="0" borderId="0" xfId="2" quotePrefix="1" applyFont="1" applyAlignment="1">
      <alignment horizontal="right"/>
    </xf>
    <xf numFmtId="0" fontId="54" fillId="0" borderId="0" xfId="2" applyFont="1"/>
    <xf numFmtId="169" fontId="54" fillId="0" borderId="0" xfId="2" applyNumberFormat="1" applyFont="1" applyBorder="1" applyAlignment="1">
      <alignment horizontal="right"/>
    </xf>
    <xf numFmtId="0" fontId="54" fillId="0" borderId="0" xfId="2" quotePrefix="1" applyFont="1" applyAlignment="1">
      <alignment horizontal="right"/>
    </xf>
    <xf numFmtId="0" fontId="54" fillId="0" borderId="0" xfId="2" applyFont="1" applyAlignment="1">
      <alignment horizontal="right"/>
    </xf>
    <xf numFmtId="170" fontId="54" fillId="0" borderId="1" xfId="2" applyNumberFormat="1" applyFont="1" applyBorder="1"/>
    <xf numFmtId="0" fontId="54" fillId="0" borderId="1" xfId="2" applyFont="1" applyBorder="1"/>
    <xf numFmtId="168" fontId="43" fillId="0" borderId="0" xfId="2" quotePrefix="1" applyNumberFormat="1" applyAlignment="1">
      <alignment horizontal="right"/>
    </xf>
    <xf numFmtId="0" fontId="9" fillId="0" borderId="0" xfId="0" applyFont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168" fontId="30" fillId="0" borderId="23" xfId="0" applyNumberFormat="1" applyFont="1" applyBorder="1" applyAlignment="1" applyProtection="1">
      <alignment horizontal="center" vertical="center"/>
    </xf>
    <xf numFmtId="0" fontId="0" fillId="0" borderId="26" xfId="0" applyBorder="1" applyProtection="1"/>
    <xf numFmtId="165" fontId="18" fillId="0" borderId="2" xfId="0" applyNumberFormat="1" applyFont="1" applyBorder="1" applyProtection="1"/>
    <xf numFmtId="166" fontId="47" fillId="7" borderId="0" xfId="0" applyNumberFormat="1" applyFont="1" applyFill="1" applyProtection="1"/>
    <xf numFmtId="166" fontId="47" fillId="7" borderId="0" xfId="0" applyNumberFormat="1" applyFont="1" applyFill="1" applyBorder="1" applyProtection="1"/>
    <xf numFmtId="165" fontId="0" fillId="0" borderId="5" xfId="0" applyNumberForma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vertical="center"/>
    </xf>
    <xf numFmtId="165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0" fillId="0" borderId="2" xfId="0" applyNumberFormat="1" applyBorder="1" applyAlignment="1" applyProtection="1">
      <alignment vertical="center"/>
    </xf>
    <xf numFmtId="165" fontId="0" fillId="0" borderId="2" xfId="0" applyNumberFormat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/>
    </xf>
    <xf numFmtId="168" fontId="18" fillId="0" borderId="0" xfId="0" applyNumberFormat="1" applyFont="1" applyAlignment="1" applyProtection="1">
      <alignment horizontal="right"/>
    </xf>
    <xf numFmtId="165" fontId="18" fillId="0" borderId="0" xfId="0" applyNumberFormat="1" applyFont="1" applyProtection="1"/>
    <xf numFmtId="165" fontId="9" fillId="0" borderId="2" xfId="0" applyNumberFormat="1" applyFont="1" applyBorder="1" applyProtection="1"/>
    <xf numFmtId="0" fontId="43" fillId="9" borderId="0" xfId="2" applyFill="1"/>
    <xf numFmtId="0" fontId="57" fillId="3" borderId="0" xfId="0" applyFont="1" applyFill="1" applyProtection="1"/>
    <xf numFmtId="0" fontId="58" fillId="3" borderId="0" xfId="0" applyFont="1" applyFill="1" applyProtection="1"/>
    <xf numFmtId="0" fontId="59" fillId="0" borderId="0" xfId="0" applyFont="1" applyFill="1" applyProtection="1"/>
    <xf numFmtId="0" fontId="59" fillId="0" borderId="0" xfId="0" applyFont="1" applyFill="1" applyAlignment="1" applyProtection="1">
      <alignment vertical="center"/>
    </xf>
    <xf numFmtId="0" fontId="59" fillId="0" borderId="0" xfId="0" applyFont="1" applyProtection="1"/>
    <xf numFmtId="0" fontId="59" fillId="0" borderId="0" xfId="0" applyFont="1" applyBorder="1" applyProtection="1"/>
    <xf numFmtId="0" fontId="59" fillId="0" borderId="0" xfId="0" applyFont="1" applyAlignment="1" applyProtection="1">
      <alignment vertical="center"/>
    </xf>
    <xf numFmtId="0" fontId="59" fillId="4" borderId="0" xfId="0" applyFont="1" applyFill="1" applyProtection="1"/>
    <xf numFmtId="0" fontId="46" fillId="0" borderId="0" xfId="0" applyFont="1" applyProtection="1"/>
    <xf numFmtId="0" fontId="4" fillId="0" borderId="13" xfId="0" applyFont="1" applyBorder="1" applyAlignment="1" applyProtection="1">
      <alignment vertical="top" wrapText="1"/>
    </xf>
    <xf numFmtId="0" fontId="46" fillId="0" borderId="2" xfId="0" applyFont="1" applyBorder="1" applyProtection="1"/>
    <xf numFmtId="0" fontId="46" fillId="0" borderId="2" xfId="0" applyFont="1" applyBorder="1" applyAlignment="1" applyProtection="1">
      <alignment vertical="center"/>
    </xf>
    <xf numFmtId="0" fontId="46" fillId="0" borderId="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top" wrapText="1"/>
    </xf>
    <xf numFmtId="0" fontId="46" fillId="0" borderId="0" xfId="0" applyFont="1" applyBorder="1" applyAlignment="1" applyProtection="1">
      <alignment vertical="center"/>
    </xf>
    <xf numFmtId="0" fontId="46" fillId="0" borderId="4" xfId="0" applyFont="1" applyBorder="1" applyAlignment="1" applyProtection="1">
      <alignment vertical="center"/>
    </xf>
    <xf numFmtId="0" fontId="0" fillId="0" borderId="15" xfId="0" applyBorder="1" applyProtection="1"/>
    <xf numFmtId="0" fontId="46" fillId="0" borderId="5" xfId="0" applyFont="1" applyBorder="1" applyProtection="1"/>
    <xf numFmtId="0" fontId="46" fillId="0" borderId="6" xfId="0" applyFont="1" applyBorder="1" applyProtection="1"/>
    <xf numFmtId="0" fontId="60" fillId="0" borderId="0" xfId="0" applyFont="1"/>
    <xf numFmtId="0" fontId="61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61" fillId="0" borderId="1" xfId="0" applyFont="1" applyBorder="1"/>
    <xf numFmtId="0" fontId="0" fillId="0" borderId="0" xfId="0" applyAlignment="1"/>
    <xf numFmtId="0" fontId="61" fillId="0" borderId="5" xfId="0" applyFont="1" applyBorder="1" applyAlignment="1"/>
    <xf numFmtId="0" fontId="63" fillId="0" borderId="5" xfId="0" applyFont="1" applyBorder="1" applyAlignment="1"/>
    <xf numFmtId="0" fontId="0" fillId="0" borderId="5" xfId="0" applyBorder="1" applyAlignment="1"/>
    <xf numFmtId="0" fontId="0" fillId="0" borderId="23" xfId="0" applyFont="1" applyBorder="1" applyAlignment="1">
      <alignment horizontal="right"/>
    </xf>
    <xf numFmtId="0" fontId="0" fillId="0" borderId="23" xfId="0" applyBorder="1"/>
    <xf numFmtId="0" fontId="0" fillId="0" borderId="23" xfId="0" applyFont="1" applyBorder="1" applyAlignment="1">
      <alignment horizontal="left"/>
    </xf>
    <xf numFmtId="0" fontId="0" fillId="0" borderId="0" xfId="0" applyFont="1"/>
    <xf numFmtId="166" fontId="0" fillId="0" borderId="0" xfId="0" applyNumberFormat="1"/>
    <xf numFmtId="0" fontId="64" fillId="0" borderId="0" xfId="0" applyFont="1"/>
    <xf numFmtId="0" fontId="0" fillId="0" borderId="5" xfId="0" applyFont="1" applyBorder="1"/>
    <xf numFmtId="166" fontId="0" fillId="0" borderId="5" xfId="0" applyNumberFormat="1" applyBorder="1"/>
    <xf numFmtId="0" fontId="64" fillId="0" borderId="5" xfId="0" applyFont="1" applyBorder="1"/>
    <xf numFmtId="0" fontId="61" fillId="0" borderId="23" xfId="0" applyFont="1" applyBorder="1"/>
    <xf numFmtId="0" fontId="63" fillId="0" borderId="23" xfId="0" applyFont="1" applyBorder="1"/>
    <xf numFmtId="166" fontId="0" fillId="0" borderId="0" xfId="0" applyNumberFormat="1" applyAlignment="1">
      <alignment horizontal="right"/>
    </xf>
    <xf numFmtId="0" fontId="6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6" fillId="0" borderId="5" xfId="0" applyFont="1" applyBorder="1" applyAlignment="1">
      <alignment horizontal="right"/>
    </xf>
    <xf numFmtId="0" fontId="61" fillId="0" borderId="13" xfId="0" applyFont="1" applyBorder="1"/>
    <xf numFmtId="0" fontId="68" fillId="0" borderId="3" xfId="0" applyFont="1" applyBorder="1"/>
    <xf numFmtId="165" fontId="0" fillId="0" borderId="23" xfId="0" applyNumberFormat="1" applyBorder="1"/>
    <xf numFmtId="0" fontId="0" fillId="0" borderId="23" xfId="0" applyBorder="1" applyAlignment="1">
      <alignment horizontal="center"/>
    </xf>
    <xf numFmtId="2" fontId="0" fillId="0" borderId="23" xfId="0" applyNumberFormat="1" applyBorder="1"/>
    <xf numFmtId="0" fontId="68" fillId="0" borderId="15" xfId="0" applyFont="1" applyBorder="1"/>
    <xf numFmtId="0" fontId="68" fillId="0" borderId="6" xfId="0" applyFont="1" applyBorder="1"/>
    <xf numFmtId="0" fontId="0" fillId="0" borderId="5" xfId="0" applyFont="1" applyBorder="1" applyAlignment="1">
      <alignment horizontal="right"/>
    </xf>
    <xf numFmtId="0" fontId="65" fillId="0" borderId="5" xfId="0" applyFont="1" applyBorder="1"/>
    <xf numFmtId="0" fontId="61" fillId="0" borderId="5" xfId="0" applyFont="1" applyBorder="1"/>
    <xf numFmtId="0" fontId="63" fillId="0" borderId="5" xfId="0" applyFont="1" applyBorder="1"/>
    <xf numFmtId="166" fontId="0" fillId="0" borderId="23" xfId="0" applyNumberFormat="1" applyBorder="1"/>
    <xf numFmtId="0" fontId="64" fillId="0" borderId="23" xfId="0" applyFont="1" applyBorder="1"/>
    <xf numFmtId="0" fontId="0" fillId="0" borderId="0" xfId="0" applyFont="1" applyBorder="1"/>
    <xf numFmtId="166" fontId="0" fillId="0" borderId="0" xfId="0" applyNumberFormat="1" applyBorder="1"/>
    <xf numFmtId="0" fontId="64" fillId="0" borderId="0" xfId="0" applyFont="1" applyBorder="1"/>
    <xf numFmtId="0" fontId="0" fillId="0" borderId="0" xfId="0" applyBorder="1" applyAlignment="1">
      <alignment horizontal="left"/>
    </xf>
    <xf numFmtId="165" fontId="18" fillId="0" borderId="0" xfId="0" applyNumberFormat="1" applyFont="1" applyBorder="1" applyAlignment="1" applyProtection="1">
      <alignment horizontal="right"/>
    </xf>
    <xf numFmtId="165" fontId="18" fillId="0" borderId="2" xfId="0" applyNumberFormat="1" applyFont="1" applyBorder="1" applyAlignment="1" applyProtection="1">
      <alignment horizontal="right"/>
    </xf>
    <xf numFmtId="10" fontId="55" fillId="5" borderId="19" xfId="3" applyNumberFormat="1" applyFont="1" applyFill="1" applyBorder="1" applyAlignment="1" applyProtection="1">
      <alignment horizontal="center" vertical="center"/>
    </xf>
    <xf numFmtId="10" fontId="55" fillId="5" borderId="18" xfId="3" applyNumberFormat="1" applyFont="1" applyFill="1" applyBorder="1" applyAlignment="1" applyProtection="1">
      <alignment horizontal="center" vertical="center"/>
    </xf>
    <xf numFmtId="10" fontId="55" fillId="0" borderId="0" xfId="0" applyNumberFormat="1" applyFont="1" applyFill="1" applyBorder="1" applyAlignment="1" applyProtection="1">
      <alignment horizontal="center" vertical="center"/>
    </xf>
    <xf numFmtId="10" fontId="55" fillId="0" borderId="19" xfId="3" applyNumberFormat="1" applyFont="1" applyBorder="1" applyAlignment="1" applyProtection="1">
      <alignment horizontal="center" vertical="center"/>
    </xf>
    <xf numFmtId="10" fontId="55" fillId="0" borderId="18" xfId="3" applyNumberFormat="1" applyFont="1" applyBorder="1" applyAlignment="1" applyProtection="1">
      <alignment horizontal="center" vertical="center"/>
    </xf>
    <xf numFmtId="10" fontId="55" fillId="0" borderId="9" xfId="0" applyNumberFormat="1" applyFont="1" applyBorder="1" applyAlignment="1" applyProtection="1">
      <alignment horizontal="center" vertical="center"/>
    </xf>
    <xf numFmtId="10" fontId="55" fillId="5" borderId="17" xfId="3" applyNumberFormat="1" applyFont="1" applyFill="1" applyBorder="1" applyAlignment="1" applyProtection="1">
      <alignment horizontal="center" vertical="center"/>
    </xf>
    <xf numFmtId="10" fontId="55" fillId="5" borderId="12" xfId="3" applyNumberFormat="1" applyFont="1" applyFill="1" applyBorder="1" applyAlignment="1" applyProtection="1">
      <alignment horizontal="center" vertical="center"/>
    </xf>
    <xf numFmtId="10" fontId="55" fillId="0" borderId="17" xfId="3" applyNumberFormat="1" applyFont="1" applyBorder="1" applyAlignment="1" applyProtection="1">
      <alignment horizontal="center" vertical="center"/>
    </xf>
    <xf numFmtId="10" fontId="55" fillId="0" borderId="12" xfId="3" applyNumberFormat="1" applyFont="1" applyBorder="1" applyAlignment="1" applyProtection="1">
      <alignment horizontal="center" vertical="center"/>
    </xf>
    <xf numFmtId="10" fontId="55" fillId="0" borderId="10" xfId="0" applyNumberFormat="1" applyFont="1" applyBorder="1" applyAlignment="1" applyProtection="1">
      <alignment horizontal="center" vertical="center"/>
    </xf>
    <xf numFmtId="9" fontId="55" fillId="5" borderId="11" xfId="3" applyFont="1" applyFill="1" applyBorder="1" applyAlignment="1" applyProtection="1">
      <alignment horizontal="center" vertical="center"/>
    </xf>
    <xf numFmtId="9" fontId="55" fillId="5" borderId="12" xfId="3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 vertical="center"/>
    </xf>
    <xf numFmtId="10" fontId="55" fillId="0" borderId="11" xfId="3" applyNumberFormat="1" applyFont="1" applyBorder="1" applyAlignment="1" applyProtection="1">
      <alignment horizontal="center" vertical="center"/>
    </xf>
    <xf numFmtId="10" fontId="55" fillId="0" borderId="1" xfId="3" applyNumberFormat="1" applyFont="1" applyBorder="1" applyAlignment="1" applyProtection="1">
      <alignment horizontal="center" vertical="center"/>
    </xf>
    <xf numFmtId="10" fontId="55" fillId="0" borderId="24" xfId="3" applyNumberFormat="1" applyFont="1" applyBorder="1" applyAlignment="1" applyProtection="1">
      <alignment horizontal="center" vertical="center"/>
    </xf>
    <xf numFmtId="10" fontId="55" fillId="0" borderId="25" xfId="0" applyNumberFormat="1" applyFont="1" applyBorder="1" applyAlignment="1" applyProtection="1">
      <alignment horizontal="center" vertical="center"/>
    </xf>
    <xf numFmtId="9" fontId="55" fillId="0" borderId="10" xfId="3" applyFont="1" applyBorder="1" applyAlignment="1" applyProtection="1">
      <alignment horizontal="center" vertical="center"/>
    </xf>
    <xf numFmtId="10" fontId="55" fillId="0" borderId="12" xfId="0" applyNumberFormat="1" applyFont="1" applyBorder="1" applyAlignment="1" applyProtection="1">
      <alignment horizontal="center" vertical="center"/>
    </xf>
    <xf numFmtId="9" fontId="55" fillId="0" borderId="12" xfId="3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right"/>
    </xf>
    <xf numFmtId="9" fontId="18" fillId="10" borderId="0" xfId="3" applyFont="1" applyFill="1" applyAlignment="1" applyProtection="1">
      <alignment horizontal="center"/>
      <protection locked="0"/>
    </xf>
    <xf numFmtId="0" fontId="47" fillId="0" borderId="2" xfId="0" applyFont="1" applyBorder="1" applyProtection="1"/>
    <xf numFmtId="0" fontId="47" fillId="0" borderId="3" xfId="0" applyFont="1" applyBorder="1" applyProtection="1"/>
    <xf numFmtId="0" fontId="47" fillId="0" borderId="14" xfId="0" applyFont="1" applyFill="1" applyBorder="1" applyProtection="1"/>
    <xf numFmtId="0" fontId="47" fillId="0" borderId="14" xfId="0" applyFont="1" applyBorder="1" applyProtection="1"/>
    <xf numFmtId="0" fontId="47" fillId="0" borderId="4" xfId="0" applyFont="1" applyBorder="1" applyProtection="1"/>
    <xf numFmtId="0" fontId="47" fillId="0" borderId="15" xfId="0" applyFont="1" applyFill="1" applyBorder="1" applyProtection="1"/>
    <xf numFmtId="0" fontId="47" fillId="0" borderId="5" xfId="0" applyFont="1" applyBorder="1" applyProtection="1"/>
    <xf numFmtId="0" fontId="47" fillId="0" borderId="6" xfId="0" applyFont="1" applyBorder="1" applyProtection="1"/>
    <xf numFmtId="0" fontId="48" fillId="0" borderId="13" xfId="0" applyFont="1" applyBorder="1" applyProtection="1"/>
    <xf numFmtId="0" fontId="48" fillId="0" borderId="2" xfId="0" applyFont="1" applyBorder="1" applyProtection="1"/>
    <xf numFmtId="0" fontId="48" fillId="0" borderId="0" xfId="0" applyFont="1" applyFill="1" applyAlignment="1" applyProtection="1">
      <alignment horizontal="left" vertical="center"/>
    </xf>
    <xf numFmtId="0" fontId="47" fillId="7" borderId="0" xfId="0" applyFont="1" applyFill="1" applyAlignment="1" applyProtection="1">
      <alignment horizontal="left"/>
    </xf>
    <xf numFmtId="168" fontId="47" fillId="0" borderId="0" xfId="0" applyNumberFormat="1" applyFont="1" applyProtection="1"/>
    <xf numFmtId="166" fontId="48" fillId="0" borderId="0" xfId="0" applyNumberFormat="1" applyFont="1" applyProtection="1"/>
    <xf numFmtId="167" fontId="18" fillId="0" borderId="0" xfId="0" applyNumberFormat="1" applyFont="1" applyAlignment="1" applyProtection="1">
      <alignment horizontal="left"/>
    </xf>
    <xf numFmtId="165" fontId="0" fillId="0" borderId="0" xfId="0" applyNumberFormat="1" applyBorder="1" applyAlignment="1" applyProtection="1">
      <alignment horizontal="right" vertical="center"/>
    </xf>
    <xf numFmtId="0" fontId="48" fillId="7" borderId="13" xfId="0" applyFont="1" applyFill="1" applyBorder="1" applyProtection="1"/>
    <xf numFmtId="0" fontId="48" fillId="7" borderId="0" xfId="0" applyFont="1" applyFill="1" applyProtection="1"/>
    <xf numFmtId="0" fontId="9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5" fontId="9" fillId="0" borderId="0" xfId="0" quotePrefix="1" applyNumberFormat="1" applyFont="1" applyBorder="1" applyProtection="1"/>
    <xf numFmtId="165" fontId="40" fillId="0" borderId="0" xfId="0" applyNumberFormat="1" applyFont="1" applyBorder="1" applyProtection="1"/>
    <xf numFmtId="0" fontId="0" fillId="0" borderId="26" xfId="0" applyBorder="1"/>
    <xf numFmtId="165" fontId="18" fillId="0" borderId="0" xfId="0" applyNumberFormat="1" applyFont="1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47" fillId="7" borderId="5" xfId="0" applyFont="1" applyFill="1" applyBorder="1" applyProtection="1"/>
    <xf numFmtId="166" fontId="18" fillId="0" borderId="0" xfId="0" applyNumberFormat="1" applyFont="1" applyBorder="1" applyAlignment="1" applyProtection="1"/>
    <xf numFmtId="165" fontId="18" fillId="0" borderId="0" xfId="0" applyNumberFormat="1" applyFont="1" applyBorder="1" applyAlignment="1" applyProtection="1">
      <alignment horizontal="center"/>
    </xf>
    <xf numFmtId="166" fontId="18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3" xfId="0" applyBorder="1" applyProtection="1"/>
    <xf numFmtId="0" fontId="9" fillId="0" borderId="26" xfId="0" applyFont="1" applyBorder="1" applyAlignment="1" applyProtection="1">
      <alignment horizontal="center"/>
    </xf>
    <xf numFmtId="0" fontId="18" fillId="0" borderId="0" xfId="0" applyFont="1" applyAlignment="1" applyProtection="1">
      <alignment vertical="top"/>
    </xf>
    <xf numFmtId="165" fontId="18" fillId="0" borderId="0" xfId="0" applyNumberFormat="1" applyFont="1" applyAlignment="1" applyProtection="1">
      <alignment vertical="top"/>
    </xf>
    <xf numFmtId="0" fontId="18" fillId="0" borderId="0" xfId="0" applyFont="1" applyAlignment="1" applyProtection="1">
      <alignment horizontal="center" vertical="top"/>
    </xf>
    <xf numFmtId="165" fontId="18" fillId="0" borderId="0" xfId="0" quotePrefix="1" applyNumberFormat="1" applyFont="1" applyAlignment="1" applyProtection="1">
      <alignment vertical="top"/>
    </xf>
    <xf numFmtId="165" fontId="9" fillId="0" borderId="0" xfId="0" quotePrefix="1" applyNumberFormat="1" applyFont="1" applyProtection="1"/>
    <xf numFmtId="0" fontId="9" fillId="0" borderId="16" xfId="0" applyFont="1" applyBorder="1" applyProtection="1"/>
    <xf numFmtId="165" fontId="0" fillId="0" borderId="16" xfId="0" applyNumberFormat="1" applyBorder="1" applyProtection="1"/>
    <xf numFmtId="0" fontId="18" fillId="0" borderId="0" xfId="0" quotePrefix="1" applyFont="1" applyProtection="1"/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6" fillId="0" borderId="0" xfId="0" applyFont="1"/>
    <xf numFmtId="165" fontId="0" fillId="0" borderId="23" xfId="0" applyNumberFormat="1" applyBorder="1" applyAlignment="1">
      <alignment horizontal="center"/>
    </xf>
    <xf numFmtId="0" fontId="70" fillId="0" borderId="0" xfId="0" applyFont="1"/>
    <xf numFmtId="0" fontId="71" fillId="0" borderId="0" xfId="0" applyFont="1"/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72" fillId="0" borderId="0" xfId="0" applyFont="1"/>
    <xf numFmtId="0" fontId="72" fillId="0" borderId="0" xfId="0" applyFont="1" applyBorder="1" applyAlignment="1" applyProtection="1">
      <alignment horizontal="left"/>
    </xf>
    <xf numFmtId="0" fontId="73" fillId="0" borderId="0" xfId="0" applyFont="1"/>
    <xf numFmtId="0" fontId="18" fillId="0" borderId="0" xfId="0" quotePrefix="1" applyFont="1"/>
    <xf numFmtId="0" fontId="72" fillId="0" borderId="5" xfId="0" applyFont="1" applyBorder="1"/>
    <xf numFmtId="0" fontId="73" fillId="0" borderId="5" xfId="0" applyFont="1" applyBorder="1"/>
    <xf numFmtId="0" fontId="18" fillId="0" borderId="5" xfId="0" quotePrefix="1" applyFont="1" applyBorder="1"/>
    <xf numFmtId="0" fontId="74" fillId="0" borderId="0" xfId="0" applyFont="1"/>
    <xf numFmtId="0" fontId="74" fillId="0" borderId="5" xfId="0" applyFont="1" applyBorder="1"/>
    <xf numFmtId="0" fontId="75" fillId="0" borderId="0" xfId="0" applyFont="1"/>
    <xf numFmtId="0" fontId="75" fillId="0" borderId="5" xfId="0" applyFont="1" applyBorder="1"/>
    <xf numFmtId="0" fontId="9" fillId="0" borderId="0" xfId="0" applyFont="1" applyAlignment="1">
      <alignment horizontal="right"/>
    </xf>
    <xf numFmtId="0" fontId="2" fillId="10" borderId="0" xfId="0" applyFont="1" applyFill="1" applyAlignment="1" applyProtection="1">
      <alignment horizontal="center"/>
      <protection locked="0"/>
    </xf>
    <xf numFmtId="0" fontId="44" fillId="0" borderId="0" xfId="2" applyFont="1"/>
    <xf numFmtId="0" fontId="49" fillId="0" borderId="0" xfId="0" applyFont="1"/>
    <xf numFmtId="0" fontId="36" fillId="11" borderId="0" xfId="0" applyFont="1" applyFill="1" applyProtection="1"/>
    <xf numFmtId="0" fontId="27" fillId="11" borderId="0" xfId="0" applyFont="1" applyFill="1" applyProtection="1"/>
    <xf numFmtId="0" fontId="36" fillId="0" borderId="0" xfId="0" applyFont="1" applyFill="1" applyProtection="1"/>
    <xf numFmtId="0" fontId="36" fillId="0" borderId="0" xfId="0" applyFont="1" applyFill="1" applyBorder="1" applyAlignment="1" applyProtection="1">
      <alignment horizontal="center"/>
    </xf>
    <xf numFmtId="0" fontId="36" fillId="0" borderId="0" xfId="0" applyFont="1" applyFill="1" applyAlignment="1" applyProtection="1">
      <alignment horizontal="left"/>
    </xf>
    <xf numFmtId="0" fontId="27" fillId="0" borderId="0" xfId="0" applyFont="1" applyFill="1" applyAlignment="1" applyProtection="1">
      <alignment horizontal="right"/>
    </xf>
    <xf numFmtId="0" fontId="27" fillId="0" borderId="0" xfId="0" applyFont="1" applyFill="1" applyProtection="1"/>
    <xf numFmtId="0" fontId="37" fillId="0" borderId="0" xfId="0" applyFont="1" applyFill="1" applyAlignment="1" applyProtection="1">
      <alignment horizontal="center"/>
    </xf>
    <xf numFmtId="0" fontId="38" fillId="0" borderId="0" xfId="0" applyFont="1" applyFill="1" applyProtection="1"/>
    <xf numFmtId="0" fontId="37" fillId="0" borderId="0" xfId="0" applyFont="1" applyFill="1" applyProtection="1"/>
    <xf numFmtId="0" fontId="29" fillId="0" borderId="0" xfId="1" applyFont="1" applyFill="1" applyAlignment="1" applyProtection="1"/>
    <xf numFmtId="0" fontId="38" fillId="0" borderId="0" xfId="0" applyFont="1" applyFill="1" applyAlignment="1" applyProtection="1">
      <alignment horizontal="center"/>
    </xf>
    <xf numFmtId="0" fontId="38" fillId="0" borderId="0" xfId="0" applyFont="1" applyFill="1" applyAlignment="1" applyProtection="1">
      <alignment horizontal="left"/>
    </xf>
    <xf numFmtId="0" fontId="27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28" fillId="0" borderId="0" xfId="1" applyFont="1" applyFill="1" applyAlignment="1" applyProtection="1"/>
    <xf numFmtId="9" fontId="55" fillId="5" borderId="0" xfId="3" applyFont="1" applyFill="1" applyBorder="1" applyAlignment="1" applyProtection="1">
      <alignment horizontal="center" vertical="center"/>
    </xf>
    <xf numFmtId="10" fontId="55" fillId="0" borderId="0" xfId="3" applyNumberFormat="1" applyFont="1" applyBorder="1" applyAlignment="1" applyProtection="1">
      <alignment horizontal="center" vertical="center"/>
    </xf>
    <xf numFmtId="9" fontId="55" fillId="0" borderId="0" xfId="0" applyNumberFormat="1" applyFont="1" applyBorder="1" applyAlignment="1" applyProtection="1">
      <alignment horizontal="center" vertical="center"/>
    </xf>
    <xf numFmtId="0" fontId="76" fillId="12" borderId="0" xfId="0" applyFont="1" applyFill="1" applyProtection="1"/>
    <xf numFmtId="0" fontId="36" fillId="12" borderId="0" xfId="0" applyFont="1" applyFill="1" applyProtection="1"/>
    <xf numFmtId="0" fontId="77" fillId="12" borderId="0" xfId="0" applyFont="1" applyFill="1" applyProtection="1"/>
    <xf numFmtId="0" fontId="27" fillId="12" borderId="0" xfId="0" applyFont="1" applyFill="1" applyProtection="1"/>
    <xf numFmtId="0" fontId="76" fillId="12" borderId="20" xfId="0" applyFont="1" applyFill="1" applyBorder="1" applyAlignment="1" applyProtection="1">
      <alignment horizontal="center"/>
    </xf>
    <xf numFmtId="0" fontId="78" fillId="12" borderId="0" xfId="0" applyFont="1" applyFill="1" applyProtection="1"/>
    <xf numFmtId="0" fontId="38" fillId="5" borderId="0" xfId="0" applyFont="1" applyFill="1" applyBorder="1" applyProtection="1"/>
    <xf numFmtId="0" fontId="29" fillId="5" borderId="0" xfId="1" applyFont="1" applyFill="1" applyBorder="1" applyAlignment="1" applyProtection="1"/>
    <xf numFmtId="0" fontId="9" fillId="5" borderId="0" xfId="0" applyFont="1" applyFill="1" applyAlignment="1" applyProtection="1">
      <alignment horizontal="left"/>
    </xf>
    <xf numFmtId="0" fontId="2" fillId="5" borderId="0" xfId="0" applyFont="1" applyFill="1" applyProtection="1"/>
    <xf numFmtId="0" fontId="2" fillId="5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left"/>
    </xf>
    <xf numFmtId="0" fontId="9" fillId="5" borderId="0" xfId="0" quotePrefix="1" applyFont="1" applyFill="1" applyProtection="1"/>
    <xf numFmtId="0" fontId="9" fillId="5" borderId="0" xfId="0" applyFont="1" applyFill="1" applyAlignment="1" applyProtection="1">
      <alignment horizontal="right"/>
    </xf>
    <xf numFmtId="0" fontId="0" fillId="5" borderId="0" xfId="0" applyFill="1" applyAlignment="1" applyProtection="1">
      <alignment horizontal="left"/>
    </xf>
    <xf numFmtId="0" fontId="0" fillId="5" borderId="0" xfId="0" applyFill="1" applyProtection="1"/>
    <xf numFmtId="0" fontId="0" fillId="5" borderId="0" xfId="0" applyFill="1" applyBorder="1" applyProtection="1"/>
    <xf numFmtId="0" fontId="0" fillId="5" borderId="1" xfId="0" applyFill="1" applyBorder="1" applyProtection="1"/>
    <xf numFmtId="0" fontId="0" fillId="0" borderId="0" xfId="0" applyFill="1" applyAlignment="1" applyProtection="1">
      <alignment horizontal="right"/>
    </xf>
    <xf numFmtId="0" fontId="2" fillId="5" borderId="5" xfId="0" applyFont="1" applyFill="1" applyBorder="1" applyProtection="1"/>
    <xf numFmtId="0" fontId="0" fillId="5" borderId="0" xfId="0" applyFill="1" applyBorder="1" applyAlignment="1" applyProtection="1">
      <alignment horizontal="right"/>
    </xf>
    <xf numFmtId="2" fontId="9" fillId="5" borderId="0" xfId="0" applyNumberFormat="1" applyFont="1" applyFill="1" applyBorder="1" applyProtection="1"/>
    <xf numFmtId="0" fontId="0" fillId="5" borderId="0" xfId="0" applyFill="1" applyAlignment="1" applyProtection="1">
      <alignment horizontal="right"/>
    </xf>
    <xf numFmtId="0" fontId="2" fillId="0" borderId="0" xfId="0" applyFont="1" applyFill="1" applyBorder="1" applyProtection="1"/>
    <xf numFmtId="165" fontId="0" fillId="5" borderId="0" xfId="0" applyNumberFormat="1" applyFill="1" applyBorder="1" applyProtection="1"/>
    <xf numFmtId="164" fontId="0" fillId="5" borderId="0" xfId="0" applyNumberFormat="1" applyFill="1" applyBorder="1" applyProtection="1"/>
    <xf numFmtId="166" fontId="0" fillId="5" borderId="0" xfId="0" applyNumberFormat="1" applyFill="1" applyBorder="1" applyProtection="1"/>
    <xf numFmtId="0" fontId="25" fillId="5" borderId="0" xfId="0" applyFont="1" applyFill="1" applyProtection="1"/>
    <xf numFmtId="0" fontId="2" fillId="0" borderId="0" xfId="0" applyFont="1" applyFill="1" applyBorder="1" applyAlignment="1" applyProtection="1">
      <alignment horizontal="left"/>
    </xf>
    <xf numFmtId="0" fontId="81" fillId="5" borderId="0" xfId="0" applyFont="1" applyFill="1" applyProtection="1"/>
    <xf numFmtId="0" fontId="2" fillId="0" borderId="5" xfId="0" applyFont="1" applyFill="1" applyBorder="1" applyProtection="1"/>
    <xf numFmtId="164" fontId="2" fillId="0" borderId="5" xfId="0" applyNumberFormat="1" applyFont="1" applyFill="1" applyBorder="1" applyProtection="1"/>
    <xf numFmtId="166" fontId="9" fillId="0" borderId="0" xfId="0" applyNumberFormat="1" applyFont="1" applyFill="1" applyBorder="1" applyAlignment="1" applyProtection="1">
      <alignment horizontal="left" indent="3"/>
    </xf>
    <xf numFmtId="0" fontId="9" fillId="0" borderId="0" xfId="0" applyFont="1" applyFill="1" applyBorder="1" applyAlignment="1" applyProtection="1">
      <alignment horizontal="left"/>
    </xf>
    <xf numFmtId="10" fontId="21" fillId="5" borderId="0" xfId="3" applyNumberFormat="1" applyFont="1" applyFill="1" applyBorder="1" applyProtection="1"/>
    <xf numFmtId="2" fontId="39" fillId="5" borderId="0" xfId="0" applyNumberFormat="1" applyFont="1" applyFill="1" applyProtection="1"/>
    <xf numFmtId="167" fontId="39" fillId="5" borderId="0" xfId="0" applyNumberFormat="1" applyFont="1" applyFill="1" applyProtection="1"/>
    <xf numFmtId="0" fontId="9" fillId="0" borderId="0" xfId="0" applyFont="1" applyFill="1" applyAlignment="1" applyProtection="1">
      <alignment horizontal="right"/>
    </xf>
    <xf numFmtId="0" fontId="9" fillId="5" borderId="1" xfId="0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 indent="3"/>
    </xf>
    <xf numFmtId="10" fontId="12" fillId="5" borderId="0" xfId="3" applyNumberFormat="1" applyFont="1" applyFill="1" applyBorder="1" applyProtection="1"/>
    <xf numFmtId="171" fontId="9" fillId="0" borderId="0" xfId="3" applyNumberFormat="1" applyFont="1" applyFill="1" applyBorder="1" applyAlignment="1" applyProtection="1">
      <alignment horizontal="left" indent="3"/>
    </xf>
    <xf numFmtId="0" fontId="2" fillId="0" borderId="5" xfId="0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 indent="3"/>
    </xf>
    <xf numFmtId="10" fontId="12" fillId="5" borderId="5" xfId="3" applyNumberFormat="1" applyFont="1" applyFill="1" applyBorder="1" applyProtection="1"/>
    <xf numFmtId="171" fontId="9" fillId="0" borderId="5" xfId="3" applyNumberFormat="1" applyFont="1" applyFill="1" applyBorder="1" applyAlignment="1" applyProtection="1">
      <alignment horizontal="left" indent="3"/>
    </xf>
    <xf numFmtId="165" fontId="9" fillId="0" borderId="0" xfId="0" applyNumberFormat="1" applyFont="1" applyFill="1" applyBorder="1" applyAlignment="1" applyProtection="1">
      <alignment horizontal="left" indent="3"/>
    </xf>
    <xf numFmtId="10" fontId="80" fillId="5" borderId="0" xfId="3" applyNumberFormat="1" applyFont="1" applyFill="1" applyBorder="1" applyProtection="1"/>
    <xf numFmtId="0" fontId="9" fillId="0" borderId="1" xfId="0" applyFont="1" applyFill="1" applyBorder="1" applyAlignment="1" applyProtection="1">
      <alignment horizontal="left"/>
    </xf>
    <xf numFmtId="165" fontId="9" fillId="0" borderId="1" xfId="0" applyNumberFormat="1" applyFont="1" applyFill="1" applyBorder="1" applyAlignment="1" applyProtection="1">
      <alignment horizontal="left" indent="3"/>
    </xf>
    <xf numFmtId="10" fontId="80" fillId="5" borderId="1" xfId="3" applyNumberFormat="1" applyFont="1" applyFill="1" applyBorder="1" applyProtection="1"/>
    <xf numFmtId="171" fontId="9" fillId="0" borderId="1" xfId="3" applyNumberFormat="1" applyFont="1" applyFill="1" applyBorder="1" applyAlignment="1" applyProtection="1">
      <alignment horizontal="left" indent="3"/>
    </xf>
    <xf numFmtId="10" fontId="21" fillId="5" borderId="1" xfId="3" applyNumberFormat="1" applyFont="1" applyFill="1" applyBorder="1" applyProtection="1"/>
    <xf numFmtId="0" fontId="9" fillId="5" borderId="0" xfId="0" applyFont="1" applyFill="1" applyProtection="1"/>
    <xf numFmtId="164" fontId="2" fillId="0" borderId="0" xfId="0" applyNumberFormat="1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/>
    </xf>
    <xf numFmtId="0" fontId="9" fillId="5" borderId="5" xfId="0" applyFont="1" applyFill="1" applyBorder="1" applyProtection="1"/>
    <xf numFmtId="0" fontId="0" fillId="5" borderId="5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center"/>
    </xf>
    <xf numFmtId="0" fontId="12" fillId="5" borderId="5" xfId="0" applyFont="1" applyFill="1" applyBorder="1" applyAlignment="1" applyProtection="1">
      <alignment horizontal="center"/>
    </xf>
    <xf numFmtId="166" fontId="0" fillId="5" borderId="5" xfId="0" applyNumberFormat="1" applyFill="1" applyBorder="1" applyAlignment="1" applyProtection="1">
      <alignment horizontal="right"/>
    </xf>
    <xf numFmtId="166" fontId="0" fillId="5" borderId="5" xfId="0" applyNumberFormat="1" applyFill="1" applyBorder="1" applyAlignment="1" applyProtection="1">
      <alignment horizontal="center"/>
    </xf>
    <xf numFmtId="10" fontId="12" fillId="5" borderId="5" xfId="3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left"/>
    </xf>
    <xf numFmtId="0" fontId="4" fillId="0" borderId="2" xfId="0" applyFont="1" applyFill="1" applyBorder="1" applyProtection="1"/>
    <xf numFmtId="10" fontId="12" fillId="5" borderId="0" xfId="3" applyNumberFormat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10" fontId="12" fillId="5" borderId="0" xfId="3" applyNumberFormat="1" applyFont="1" applyFill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0" fillId="5" borderId="5" xfId="0" applyFill="1" applyBorder="1" applyProtection="1"/>
    <xf numFmtId="0" fontId="2" fillId="5" borderId="5" xfId="0" applyFont="1" applyFill="1" applyBorder="1" applyAlignment="1" applyProtection="1">
      <alignment horizontal="right"/>
    </xf>
    <xf numFmtId="0" fontId="82" fillId="5" borderId="5" xfId="0" applyFont="1" applyFill="1" applyBorder="1" applyAlignment="1" applyProtection="1">
      <alignment horizontal="right"/>
    </xf>
    <xf numFmtId="0" fontId="0" fillId="5" borderId="0" xfId="0" applyFill="1" applyBorder="1" applyAlignment="1" applyProtection="1"/>
    <xf numFmtId="1" fontId="2" fillId="5" borderId="0" xfId="0" applyNumberFormat="1" applyFont="1" applyFill="1" applyBorder="1" applyAlignment="1" applyProtection="1"/>
    <xf numFmtId="164" fontId="82" fillId="5" borderId="0" xfId="0" applyNumberFormat="1" applyFont="1" applyFill="1" applyAlignment="1" applyProtection="1"/>
    <xf numFmtId="0" fontId="0" fillId="5" borderId="5" xfId="0" applyFill="1" applyBorder="1" applyAlignment="1" applyProtection="1"/>
    <xf numFmtId="1" fontId="2" fillId="5" borderId="5" xfId="0" applyNumberFormat="1" applyFont="1" applyFill="1" applyBorder="1" applyAlignment="1" applyProtection="1"/>
    <xf numFmtId="164" fontId="82" fillId="5" borderId="5" xfId="0" applyNumberFormat="1" applyFont="1" applyFill="1" applyBorder="1" applyAlignment="1" applyProtection="1"/>
    <xf numFmtId="0" fontId="0" fillId="5" borderId="0" xfId="0" applyFill="1" applyBorder="1" applyAlignment="1" applyProtection="1">
      <alignment horizontal="left"/>
    </xf>
    <xf numFmtId="0" fontId="4" fillId="5" borderId="0" xfId="0" applyFont="1" applyFill="1" applyBorder="1" applyProtection="1"/>
    <xf numFmtId="0" fontId="83" fillId="5" borderId="1" xfId="0" applyFont="1" applyFill="1" applyBorder="1" applyProtection="1"/>
    <xf numFmtId="0" fontId="0" fillId="3" borderId="0" xfId="0" applyFill="1" applyProtection="1">
      <protection locked="0"/>
    </xf>
    <xf numFmtId="0" fontId="81" fillId="5" borderId="0" xfId="0" applyFont="1" applyFill="1" applyBorder="1" applyAlignment="1" applyProtection="1">
      <alignment horizontal="left"/>
    </xf>
    <xf numFmtId="165" fontId="0" fillId="5" borderId="5" xfId="0" applyNumberFormat="1" applyFill="1" applyBorder="1" applyProtection="1"/>
    <xf numFmtId="165" fontId="2" fillId="0" borderId="5" xfId="0" applyNumberFormat="1" applyFont="1" applyBorder="1" applyProtection="1"/>
    <xf numFmtId="164" fontId="2" fillId="5" borderId="0" xfId="0" applyNumberFormat="1" applyFont="1" applyFill="1" applyAlignment="1" applyProtection="1">
      <alignment horizontal="right"/>
    </xf>
    <xf numFmtId="0" fontId="2" fillId="5" borderId="0" xfId="0" applyFont="1" applyFill="1" applyAlignment="1" applyProtection="1">
      <alignment horizontal="right"/>
    </xf>
    <xf numFmtId="1" fontId="2" fillId="5" borderId="0" xfId="0" applyNumberFormat="1" applyFont="1" applyFill="1" applyAlignment="1" applyProtection="1">
      <alignment horizontal="right"/>
    </xf>
    <xf numFmtId="0" fontId="9" fillId="5" borderId="1" xfId="0" applyFont="1" applyFill="1" applyBorder="1" applyAlignment="1" applyProtection="1">
      <alignment horizontal="right"/>
    </xf>
    <xf numFmtId="165" fontId="2" fillId="0" borderId="0" xfId="0" applyNumberFormat="1" applyFont="1" applyBorder="1" applyProtection="1"/>
    <xf numFmtId="0" fontId="9" fillId="5" borderId="0" xfId="0" applyFont="1" applyFill="1" applyBorder="1" applyProtection="1"/>
    <xf numFmtId="0" fontId="26" fillId="3" borderId="0" xfId="0" applyFont="1" applyFill="1" applyProtection="1"/>
    <xf numFmtId="0" fontId="26" fillId="3" borderId="0" xfId="0" applyFont="1" applyFill="1" applyAlignment="1" applyProtection="1">
      <alignment horizontal="left"/>
    </xf>
    <xf numFmtId="0" fontId="84" fillId="3" borderId="0" xfId="0" applyFont="1" applyFill="1" applyAlignment="1" applyProtection="1">
      <alignment horizontal="right"/>
    </xf>
    <xf numFmtId="0" fontId="84" fillId="3" borderId="0" xfId="0" applyFont="1" applyFill="1" applyProtection="1"/>
    <xf numFmtId="0" fontId="22" fillId="3" borderId="0" xfId="0" applyFont="1" applyFill="1" applyProtection="1"/>
    <xf numFmtId="0" fontId="22" fillId="3" borderId="0" xfId="0" applyFont="1" applyFill="1" applyAlignment="1" applyProtection="1">
      <alignment horizontal="right"/>
    </xf>
    <xf numFmtId="0" fontId="4" fillId="3" borderId="0" xfId="0" applyFont="1" applyFill="1" applyProtection="1"/>
    <xf numFmtId="0" fontId="85" fillId="3" borderId="0" xfId="1" applyFont="1" applyFill="1" applyAlignment="1" applyProtection="1"/>
    <xf numFmtId="0" fontId="26" fillId="3" borderId="0" xfId="0" applyFont="1" applyFill="1" applyAlignment="1" applyProtection="1">
      <alignment horizontal="right"/>
    </xf>
    <xf numFmtId="0" fontId="22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/>
    </xf>
    <xf numFmtId="0" fontId="9" fillId="5" borderId="0" xfId="0" applyFont="1" applyFill="1" applyAlignment="1" applyProtection="1">
      <alignment horizontal="left" vertical="center"/>
    </xf>
    <xf numFmtId="0" fontId="2" fillId="6" borderId="0" xfId="0" applyFont="1" applyFill="1" applyBorder="1" applyProtection="1"/>
    <xf numFmtId="167" fontId="0" fillId="5" borderId="5" xfId="0" applyNumberFormat="1" applyFill="1" applyBorder="1" applyAlignment="1" applyProtection="1">
      <alignment horizontal="right"/>
    </xf>
    <xf numFmtId="0" fontId="39" fillId="5" borderId="0" xfId="0" applyFont="1" applyFill="1" applyAlignment="1" applyProtection="1">
      <alignment horizontal="right"/>
    </xf>
    <xf numFmtId="0" fontId="39" fillId="0" borderId="0" xfId="0" applyFont="1" applyFill="1" applyBorder="1" applyAlignment="1" applyProtection="1">
      <alignment horizontal="right"/>
    </xf>
    <xf numFmtId="0" fontId="0" fillId="13" borderId="0" xfId="0" applyFill="1" applyProtection="1"/>
    <xf numFmtId="164" fontId="0" fillId="5" borderId="5" xfId="0" applyNumberFormat="1" applyFill="1" applyBorder="1" applyProtection="1"/>
    <xf numFmtId="166" fontId="0" fillId="5" borderId="5" xfId="0" applyNumberFormat="1" applyFill="1" applyBorder="1" applyProtection="1"/>
    <xf numFmtId="0" fontId="39" fillId="0" borderId="0" xfId="0" applyFont="1" applyFill="1" applyAlignment="1" applyProtection="1">
      <alignment horizontal="right"/>
    </xf>
    <xf numFmtId="0" fontId="0" fillId="6" borderId="0" xfId="0" applyFill="1" applyBorder="1" applyProtection="1"/>
    <xf numFmtId="164" fontId="9" fillId="0" borderId="5" xfId="0" applyNumberFormat="1" applyFont="1" applyFill="1" applyBorder="1" applyProtection="1"/>
    <xf numFmtId="1" fontId="39" fillId="5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 indent="3"/>
    </xf>
    <xf numFmtId="10" fontId="12" fillId="5" borderId="2" xfId="3" applyNumberFormat="1" applyFont="1" applyFill="1" applyBorder="1" applyProtection="1"/>
    <xf numFmtId="171" fontId="9" fillId="0" borderId="2" xfId="3" applyNumberFormat="1" applyFont="1" applyFill="1" applyBorder="1" applyAlignment="1" applyProtection="1">
      <alignment horizontal="left" indent="3"/>
    </xf>
    <xf numFmtId="10" fontId="21" fillId="5" borderId="2" xfId="3" applyNumberFormat="1" applyFont="1" applyFill="1" applyBorder="1" applyProtection="1"/>
    <xf numFmtId="10" fontId="21" fillId="5" borderId="5" xfId="3" applyNumberFormat="1" applyFont="1" applyFill="1" applyBorder="1" applyProtection="1"/>
    <xf numFmtId="0" fontId="2" fillId="0" borderId="2" xfId="0" applyFont="1" applyFill="1" applyBorder="1" applyProtection="1"/>
    <xf numFmtId="164" fontId="2" fillId="0" borderId="2" xfId="0" applyNumberFormat="1" applyFont="1" applyFill="1" applyBorder="1" applyAlignment="1" applyProtection="1">
      <alignment horizontal="left"/>
    </xf>
    <xf numFmtId="166" fontId="2" fillId="0" borderId="2" xfId="0" quotePrefix="1" applyNumberFormat="1" applyFont="1" applyFill="1" applyBorder="1" applyAlignment="1" applyProtection="1">
      <alignment horizontal="right"/>
    </xf>
    <xf numFmtId="10" fontId="12" fillId="0" borderId="2" xfId="3" applyNumberFormat="1" applyFont="1" applyFill="1" applyBorder="1" applyAlignment="1" applyProtection="1">
      <alignment horizontal="right"/>
    </xf>
    <xf numFmtId="0" fontId="0" fillId="5" borderId="2" xfId="0" applyFill="1" applyBorder="1" applyProtection="1"/>
    <xf numFmtId="10" fontId="0" fillId="5" borderId="0" xfId="0" applyNumberFormat="1" applyFill="1" applyBorder="1" applyProtection="1"/>
    <xf numFmtId="0" fontId="0" fillId="5" borderId="0" xfId="0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left"/>
    </xf>
    <xf numFmtId="166" fontId="2" fillId="0" borderId="5" xfId="0" quotePrefix="1" applyNumberFormat="1" applyFont="1" applyFill="1" applyBorder="1" applyAlignment="1" applyProtection="1">
      <alignment horizontal="right"/>
    </xf>
    <xf numFmtId="10" fontId="12" fillId="5" borderId="5" xfId="3" applyNumberFormat="1" applyFont="1" applyFill="1" applyBorder="1" applyAlignment="1" applyProtection="1">
      <alignment horizontal="right"/>
    </xf>
    <xf numFmtId="0" fontId="0" fillId="5" borderId="0" xfId="0" quotePrefix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right"/>
    </xf>
    <xf numFmtId="1" fontId="2" fillId="5" borderId="23" xfId="3" applyNumberFormat="1" applyFont="1" applyFill="1" applyBorder="1" applyAlignment="1" applyProtection="1">
      <alignment horizontal="left"/>
    </xf>
    <xf numFmtId="164" fontId="2" fillId="5" borderId="0" xfId="3" applyNumberFormat="1" applyFont="1" applyFill="1" applyBorder="1" applyAlignment="1" applyProtection="1">
      <alignment horizontal="left"/>
    </xf>
    <xf numFmtId="164" fontId="2" fillId="5" borderId="0" xfId="0" applyNumberFormat="1" applyFont="1" applyFill="1" applyAlignment="1" applyProtection="1">
      <alignment horizontal="left"/>
    </xf>
    <xf numFmtId="167" fontId="0" fillId="5" borderId="5" xfId="0" applyNumberFormat="1" applyFill="1" applyBorder="1" applyProtection="1"/>
    <xf numFmtId="10" fontId="0" fillId="5" borderId="5" xfId="0" applyNumberFormat="1" applyFill="1" applyBorder="1" applyProtection="1"/>
    <xf numFmtId="167" fontId="0" fillId="13" borderId="1" xfId="0" applyNumberFormat="1" applyFill="1" applyBorder="1" applyProtection="1"/>
    <xf numFmtId="166" fontId="0" fillId="5" borderId="1" xfId="0" applyNumberFormat="1" applyFill="1" applyBorder="1" applyProtection="1"/>
    <xf numFmtId="10" fontId="0" fillId="5" borderId="1" xfId="3" applyNumberFormat="1" applyFont="1" applyFill="1" applyBorder="1" applyProtection="1"/>
    <xf numFmtId="0" fontId="4" fillId="5" borderId="0" xfId="0" applyFont="1" applyFill="1" applyProtection="1"/>
    <xf numFmtId="2" fontId="0" fillId="5" borderId="0" xfId="0" applyNumberFormat="1" applyFill="1" applyProtection="1"/>
    <xf numFmtId="167" fontId="0" fillId="5" borderId="0" xfId="0" applyNumberFormat="1" applyFill="1" applyAlignment="1" applyProtection="1">
      <alignment horizontal="right"/>
    </xf>
    <xf numFmtId="168" fontId="0" fillId="5" borderId="0" xfId="0" applyNumberFormat="1" applyFill="1" applyAlignment="1" applyProtection="1">
      <alignment horizontal="left"/>
    </xf>
    <xf numFmtId="0" fontId="2" fillId="5" borderId="2" xfId="0" applyFont="1" applyFill="1" applyBorder="1" applyProtection="1"/>
    <xf numFmtId="0" fontId="0" fillId="5" borderId="23" xfId="0" applyFill="1" applyBorder="1" applyProtection="1"/>
    <xf numFmtId="164" fontId="0" fillId="5" borderId="2" xfId="0" applyNumberFormat="1" applyFill="1" applyBorder="1" applyProtection="1"/>
    <xf numFmtId="166" fontId="2" fillId="0" borderId="2" xfId="0" applyNumberFormat="1" applyFont="1" applyFill="1" applyBorder="1" applyAlignment="1" applyProtection="1">
      <alignment horizontal="right"/>
    </xf>
    <xf numFmtId="0" fontId="9" fillId="0" borderId="2" xfId="0" applyFont="1" applyFill="1" applyBorder="1" applyProtection="1"/>
    <xf numFmtId="166" fontId="2" fillId="5" borderId="5" xfId="0" applyNumberFormat="1" applyFont="1" applyFill="1" applyBorder="1" applyAlignment="1" applyProtection="1">
      <alignment horizontal="right"/>
    </xf>
    <xf numFmtId="0" fontId="9" fillId="0" borderId="23" xfId="0" applyFont="1" applyFill="1" applyBorder="1" applyProtection="1"/>
    <xf numFmtId="0" fontId="2" fillId="6" borderId="5" xfId="0" applyFont="1" applyFill="1" applyBorder="1" applyAlignment="1" applyProtection="1">
      <alignment horizontal="center"/>
    </xf>
    <xf numFmtId="0" fontId="23" fillId="5" borderId="5" xfId="0" applyFont="1" applyFill="1" applyBorder="1" applyAlignment="1" applyProtection="1">
      <alignment horizontal="right"/>
    </xf>
    <xf numFmtId="0" fontId="0" fillId="14" borderId="0" xfId="0" applyFill="1" applyProtection="1"/>
    <xf numFmtId="1" fontId="2" fillId="5" borderId="0" xfId="0" quotePrefix="1" applyNumberFormat="1" applyFont="1" applyFill="1" applyBorder="1" applyAlignment="1" applyProtection="1"/>
    <xf numFmtId="164" fontId="23" fillId="5" borderId="0" xfId="0" applyNumberFormat="1" applyFont="1" applyFill="1" applyAlignment="1" applyProtection="1"/>
    <xf numFmtId="2" fontId="2" fillId="5" borderId="0" xfId="0" quotePrefix="1" applyNumberFormat="1" applyFont="1" applyFill="1" applyBorder="1" applyAlignment="1" applyProtection="1"/>
    <xf numFmtId="1" fontId="2" fillId="5" borderId="5" xfId="0" quotePrefix="1" applyNumberFormat="1" applyFont="1" applyFill="1" applyBorder="1" applyAlignment="1" applyProtection="1"/>
    <xf numFmtId="164" fontId="23" fillId="5" borderId="5" xfId="0" applyNumberFormat="1" applyFont="1" applyFill="1" applyBorder="1" applyAlignment="1" applyProtection="1"/>
    <xf numFmtId="2" fontId="2" fillId="5" borderId="5" xfId="0" quotePrefix="1" applyNumberFormat="1" applyFont="1" applyFill="1" applyBorder="1" applyAlignment="1" applyProtection="1"/>
    <xf numFmtId="0" fontId="86" fillId="5" borderId="0" xfId="0" applyFont="1" applyFill="1" applyProtection="1"/>
    <xf numFmtId="0" fontId="0" fillId="6" borderId="0" xfId="0" applyFill="1" applyProtection="1"/>
    <xf numFmtId="0" fontId="87" fillId="5" borderId="0" xfId="0" quotePrefix="1" applyFont="1" applyFill="1" applyProtection="1"/>
    <xf numFmtId="0" fontId="0" fillId="5" borderId="0" xfId="0" applyFill="1" applyAlignment="1" applyProtection="1">
      <alignment horizontal="center"/>
    </xf>
    <xf numFmtId="0" fontId="0" fillId="5" borderId="5" xfId="0" applyFill="1" applyBorder="1" applyAlignment="1" applyProtection="1">
      <alignment horizontal="left"/>
    </xf>
    <xf numFmtId="165" fontId="2" fillId="0" borderId="23" xfId="0" applyNumberFormat="1" applyFont="1" applyBorder="1"/>
    <xf numFmtId="165" fontId="0" fillId="5" borderId="23" xfId="0" applyNumberFormat="1" applyFill="1" applyBorder="1" applyProtection="1"/>
    <xf numFmtId="165" fontId="2" fillId="0" borderId="0" xfId="0" applyNumberFormat="1" applyFont="1" applyBorder="1"/>
    <xf numFmtId="0" fontId="87" fillId="5" borderId="0" xfId="0" applyFont="1" applyFill="1" applyProtection="1"/>
    <xf numFmtId="0" fontId="87" fillId="5" borderId="0" xfId="0" applyFont="1" applyFill="1" applyAlignment="1" applyProtection="1">
      <alignment horizontal="right"/>
    </xf>
    <xf numFmtId="164" fontId="87" fillId="5" borderId="0" xfId="0" applyNumberFormat="1" applyFont="1" applyFill="1" applyProtection="1"/>
    <xf numFmtId="0" fontId="72" fillId="5" borderId="0" xfId="0" applyFont="1" applyFill="1" applyAlignment="1" applyProtection="1">
      <alignment horizontal="left"/>
    </xf>
    <xf numFmtId="0" fontId="88" fillId="5" borderId="0" xfId="0" applyFont="1" applyFill="1" applyAlignment="1" applyProtection="1">
      <alignment horizontal="left"/>
    </xf>
    <xf numFmtId="0" fontId="79" fillId="0" borderId="0" xfId="1" applyFont="1" applyFill="1" applyBorder="1" applyAlignment="1" applyProtection="1">
      <alignment horizontal="left"/>
    </xf>
    <xf numFmtId="165" fontId="87" fillId="5" borderId="0" xfId="0" applyNumberFormat="1" applyFont="1" applyFill="1" applyAlignment="1" applyProtection="1">
      <alignment horizontal="right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right"/>
    </xf>
    <xf numFmtId="0" fontId="0" fillId="5" borderId="1" xfId="0" applyFill="1" applyBorder="1" applyAlignment="1" applyProtection="1">
      <alignment horizontal="left"/>
    </xf>
    <xf numFmtId="0" fontId="2" fillId="5" borderId="1" xfId="0" applyFont="1" applyFill="1" applyBorder="1" applyProtection="1"/>
    <xf numFmtId="0" fontId="25" fillId="15" borderId="0" xfId="0" applyFont="1" applyFill="1" applyProtection="1"/>
    <xf numFmtId="0" fontId="25" fillId="15" borderId="0" xfId="0" applyFont="1" applyFill="1" applyAlignment="1" applyProtection="1">
      <alignment horizontal="right"/>
    </xf>
    <xf numFmtId="0" fontId="25" fillId="15" borderId="0" xfId="0" applyFont="1" applyFill="1" applyAlignment="1" applyProtection="1">
      <alignment horizontal="left"/>
    </xf>
    <xf numFmtId="0" fontId="6" fillId="15" borderId="0" xfId="0" applyFont="1" applyFill="1" applyProtection="1"/>
    <xf numFmtId="0" fontId="6" fillId="15" borderId="0" xfId="0" applyFont="1" applyFill="1" applyAlignment="1" applyProtection="1">
      <alignment horizontal="right"/>
    </xf>
    <xf numFmtId="0" fontId="89" fillId="15" borderId="0" xfId="0" applyFont="1" applyFill="1" applyProtection="1"/>
    <xf numFmtId="0" fontId="89" fillId="15" borderId="0" xfId="0" applyFont="1" applyFill="1" applyAlignment="1" applyProtection="1">
      <alignment horizontal="right"/>
    </xf>
    <xf numFmtId="0" fontId="89" fillId="15" borderId="0" xfId="0" applyFont="1" applyFill="1" applyAlignment="1" applyProtection="1">
      <alignment horizontal="left"/>
    </xf>
    <xf numFmtId="0" fontId="90" fillId="5" borderId="0" xfId="0" applyFont="1" applyFill="1" applyProtection="1"/>
    <xf numFmtId="0" fontId="90" fillId="5" borderId="0" xfId="0" applyFont="1" applyFill="1" applyAlignment="1" applyProtection="1">
      <alignment horizontal="right"/>
    </xf>
    <xf numFmtId="0" fontId="89" fillId="5" borderId="0" xfId="0" applyFont="1" applyFill="1" applyAlignment="1" applyProtection="1">
      <alignment horizontal="left"/>
    </xf>
    <xf numFmtId="0" fontId="89" fillId="5" borderId="0" xfId="0" applyFont="1" applyFill="1" applyProtection="1"/>
    <xf numFmtId="0" fontId="89" fillId="5" borderId="5" xfId="0" applyFont="1" applyFill="1" applyBorder="1" applyProtection="1"/>
    <xf numFmtId="10" fontId="91" fillId="5" borderId="5" xfId="3" applyNumberFormat="1" applyFont="1" applyFill="1" applyBorder="1" applyAlignment="1" applyProtection="1">
      <alignment horizontal="left"/>
    </xf>
    <xf numFmtId="2" fontId="87" fillId="5" borderId="5" xfId="0" applyNumberFormat="1" applyFont="1" applyFill="1" applyBorder="1" applyAlignment="1" applyProtection="1">
      <alignment horizontal="left"/>
    </xf>
    <xf numFmtId="167" fontId="87" fillId="5" borderId="5" xfId="0" applyNumberFormat="1" applyFont="1" applyFill="1" applyBorder="1" applyAlignment="1" applyProtection="1">
      <alignment horizontal="left"/>
    </xf>
    <xf numFmtId="0" fontId="87" fillId="5" borderId="5" xfId="0" applyFont="1" applyFill="1" applyBorder="1" applyAlignment="1" applyProtection="1">
      <alignment horizontal="left"/>
    </xf>
    <xf numFmtId="0" fontId="2" fillId="5" borderId="0" xfId="0" applyFont="1" applyFill="1" applyBorder="1" applyProtection="1"/>
    <xf numFmtId="166" fontId="2" fillId="0" borderId="0" xfId="0" quotePrefix="1" applyNumberFormat="1" applyFont="1" applyFill="1" applyBorder="1" applyAlignment="1" applyProtection="1">
      <alignment horizontal="right"/>
    </xf>
    <xf numFmtId="166" fontId="2" fillId="5" borderId="0" xfId="0" quotePrefix="1" applyNumberFormat="1" applyFont="1" applyFill="1" applyBorder="1" applyAlignment="1" applyProtection="1">
      <alignment horizontal="right"/>
    </xf>
    <xf numFmtId="166" fontId="92" fillId="0" borderId="5" xfId="0" applyNumberFormat="1" applyFont="1" applyFill="1" applyBorder="1" applyAlignment="1" applyProtection="1">
      <alignment horizontal="center"/>
    </xf>
    <xf numFmtId="10" fontId="87" fillId="5" borderId="5" xfId="3" applyNumberFormat="1" applyFont="1" applyFill="1" applyBorder="1" applyAlignment="1" applyProtection="1">
      <alignment horizontal="left"/>
    </xf>
    <xf numFmtId="166" fontId="2" fillId="5" borderId="0" xfId="0" applyNumberFormat="1" applyFont="1" applyFill="1" applyBorder="1" applyAlignment="1" applyProtection="1">
      <alignment horizontal="right"/>
    </xf>
    <xf numFmtId="164" fontId="87" fillId="0" borderId="0" xfId="0" applyNumberFormat="1" applyFont="1" applyFill="1" applyBorder="1" applyAlignment="1" applyProtection="1">
      <alignment horizontal="left" indent="3"/>
    </xf>
    <xf numFmtId="1" fontId="87" fillId="5" borderId="0" xfId="3" applyNumberFormat="1" applyFont="1" applyFill="1" applyBorder="1" applyAlignment="1" applyProtection="1">
      <alignment horizontal="left"/>
    </xf>
    <xf numFmtId="1" fontId="87" fillId="5" borderId="0" xfId="0" applyNumberFormat="1" applyFont="1" applyFill="1" applyAlignment="1" applyProtection="1">
      <alignment horizontal="left"/>
    </xf>
    <xf numFmtId="2" fontId="87" fillId="5" borderId="0" xfId="0" applyNumberFormat="1" applyFont="1" applyFill="1" applyAlignment="1" applyProtection="1">
      <alignment horizontal="left"/>
    </xf>
    <xf numFmtId="166" fontId="2" fillId="0" borderId="5" xfId="0" applyNumberFormat="1" applyFont="1" applyFill="1" applyBorder="1" applyAlignment="1" applyProtection="1">
      <alignment horizontal="right"/>
    </xf>
    <xf numFmtId="0" fontId="89" fillId="5" borderId="0" xfId="0" applyFont="1" applyFill="1" applyAlignment="1" applyProtection="1">
      <alignment horizontal="right"/>
    </xf>
    <xf numFmtId="1" fontId="87" fillId="5" borderId="5" xfId="3" applyNumberFormat="1" applyFont="1" applyFill="1" applyBorder="1" applyAlignment="1" applyProtection="1">
      <alignment horizontal="left"/>
    </xf>
    <xf numFmtId="1" fontId="87" fillId="5" borderId="5" xfId="0" applyNumberFormat="1" applyFont="1" applyFill="1" applyBorder="1" applyAlignment="1" applyProtection="1">
      <alignment horizontal="left"/>
    </xf>
    <xf numFmtId="0" fontId="90" fillId="5" borderId="0" xfId="0" applyFont="1" applyFill="1" applyAlignment="1" applyProtection="1">
      <alignment horizontal="left"/>
    </xf>
    <xf numFmtId="0" fontId="93" fillId="5" borderId="0" xfId="0" applyFont="1" applyFill="1" applyProtection="1"/>
    <xf numFmtId="0" fontId="93" fillId="5" borderId="0" xfId="0" applyFont="1" applyFill="1" applyAlignment="1" applyProtection="1">
      <alignment horizontal="right"/>
    </xf>
    <xf numFmtId="0" fontId="93" fillId="5" borderId="0" xfId="0" applyFont="1" applyFill="1" applyAlignment="1" applyProtection="1">
      <alignment horizontal="left"/>
    </xf>
    <xf numFmtId="0" fontId="94" fillId="5" borderId="0" xfId="0" applyFont="1" applyFill="1" applyAlignment="1" applyProtection="1">
      <alignment horizontal="center"/>
    </xf>
    <xf numFmtId="0" fontId="94" fillId="5" borderId="0" xfId="0" quotePrefix="1" applyFont="1" applyFill="1" applyAlignment="1" applyProtection="1">
      <alignment horizontal="center"/>
    </xf>
    <xf numFmtId="0" fontId="93" fillId="5" borderId="16" xfId="0" applyFont="1" applyFill="1" applyBorder="1" applyAlignment="1" applyProtection="1">
      <alignment horizontal="center"/>
    </xf>
    <xf numFmtId="0" fontId="93" fillId="5" borderId="36" xfId="0" applyFont="1" applyFill="1" applyBorder="1" applyAlignment="1" applyProtection="1">
      <alignment horizontal="center"/>
    </xf>
    <xf numFmtId="168" fontId="93" fillId="5" borderId="23" xfId="0" applyNumberFormat="1" applyFont="1" applyFill="1" applyBorder="1" applyAlignment="1" applyProtection="1">
      <alignment horizontal="center"/>
    </xf>
    <xf numFmtId="168" fontId="94" fillId="5" borderId="7" xfId="0" applyNumberFormat="1" applyFont="1" applyFill="1" applyBorder="1" applyAlignment="1" applyProtection="1">
      <alignment horizontal="center"/>
    </xf>
    <xf numFmtId="168" fontId="94" fillId="5" borderId="9" xfId="0" applyNumberFormat="1" applyFont="1" applyFill="1" applyBorder="1" applyAlignment="1" applyProtection="1">
      <alignment horizontal="center"/>
    </xf>
    <xf numFmtId="0" fontId="93" fillId="5" borderId="29" xfId="0" applyFont="1" applyFill="1" applyBorder="1" applyAlignment="1" applyProtection="1">
      <alignment horizontal="center"/>
    </xf>
    <xf numFmtId="0" fontId="93" fillId="5" borderId="6" xfId="0" applyFont="1" applyFill="1" applyBorder="1" applyAlignment="1" applyProtection="1">
      <alignment horizontal="center"/>
    </xf>
    <xf numFmtId="168" fontId="93" fillId="5" borderId="5" xfId="0" applyNumberFormat="1" applyFont="1" applyFill="1" applyBorder="1" applyAlignment="1" applyProtection="1">
      <alignment horizontal="center"/>
    </xf>
    <xf numFmtId="10" fontId="95" fillId="5" borderId="11" xfId="3" applyNumberFormat="1" applyFont="1" applyFill="1" applyBorder="1" applyAlignment="1" applyProtection="1">
      <alignment horizontal="center"/>
    </xf>
    <xf numFmtId="10" fontId="95" fillId="5" borderId="12" xfId="3" applyNumberFormat="1" applyFont="1" applyFill="1" applyBorder="1" applyAlignment="1" applyProtection="1">
      <alignment horizontal="center"/>
    </xf>
    <xf numFmtId="168" fontId="93" fillId="5" borderId="0" xfId="0" applyNumberFormat="1" applyFont="1" applyFill="1" applyAlignment="1" applyProtection="1">
      <alignment horizontal="center"/>
    </xf>
    <xf numFmtId="0" fontId="93" fillId="5" borderId="0" xfId="0" applyFont="1" applyFill="1" applyAlignment="1" applyProtection="1">
      <alignment horizontal="center"/>
    </xf>
    <xf numFmtId="0" fontId="94" fillId="5" borderId="0" xfId="0" applyFont="1" applyFill="1" applyProtection="1"/>
    <xf numFmtId="0" fontId="93" fillId="5" borderId="0" xfId="3" applyNumberFormat="1" applyFont="1" applyFill="1" applyAlignment="1" applyProtection="1">
      <alignment horizontal="center"/>
    </xf>
    <xf numFmtId="173" fontId="93" fillId="5" borderId="0" xfId="3" applyNumberFormat="1" applyFont="1" applyFill="1" applyAlignment="1" applyProtection="1">
      <alignment horizontal="center"/>
    </xf>
    <xf numFmtId="167" fontId="93" fillId="5" borderId="36" xfId="0" applyNumberFormat="1" applyFont="1" applyFill="1" applyBorder="1" applyAlignment="1" applyProtection="1">
      <alignment horizontal="center"/>
    </xf>
    <xf numFmtId="167" fontId="93" fillId="5" borderId="23" xfId="0" applyNumberFormat="1" applyFont="1" applyFill="1" applyBorder="1" applyAlignment="1" applyProtection="1">
      <alignment horizontal="center"/>
    </xf>
    <xf numFmtId="0" fontId="96" fillId="5" borderId="0" xfId="0" applyFont="1" applyFill="1" applyProtection="1"/>
    <xf numFmtId="0" fontId="96" fillId="5" borderId="0" xfId="0" applyFont="1" applyFill="1" applyAlignment="1" applyProtection="1">
      <alignment horizontal="right"/>
    </xf>
    <xf numFmtId="0" fontId="96" fillId="5" borderId="0" xfId="0" applyFont="1" applyFill="1" applyAlignment="1" applyProtection="1">
      <alignment horizontal="left"/>
    </xf>
    <xf numFmtId="0" fontId="2" fillId="5" borderId="16" xfId="0" applyFont="1" applyFill="1" applyBorder="1" applyProtection="1"/>
    <xf numFmtId="0" fontId="96" fillId="5" borderId="16" xfId="0" applyFont="1" applyFill="1" applyBorder="1" applyProtection="1"/>
    <xf numFmtId="166" fontId="0" fillId="5" borderId="0" xfId="0" applyNumberFormat="1" applyFill="1" applyProtection="1"/>
    <xf numFmtId="0" fontId="72" fillId="5" borderId="0" xfId="0" applyFont="1" applyFill="1" applyAlignment="1" applyProtection="1"/>
    <xf numFmtId="0" fontId="72" fillId="5" borderId="5" xfId="0" applyFont="1" applyFill="1" applyBorder="1" applyAlignment="1" applyProtection="1"/>
    <xf numFmtId="0" fontId="2" fillId="10" borderId="16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98" fillId="5" borderId="0" xfId="0" applyFont="1" applyFill="1" applyAlignment="1" applyProtection="1">
      <alignment horizontal="right"/>
    </xf>
    <xf numFmtId="0" fontId="0" fillId="16" borderId="13" xfId="0" applyFill="1" applyBorder="1"/>
    <xf numFmtId="0" fontId="0" fillId="16" borderId="22" xfId="0" applyFill="1" applyBorder="1"/>
    <xf numFmtId="0" fontId="0" fillId="16" borderId="27" xfId="0" applyFill="1" applyBorder="1"/>
    <xf numFmtId="0" fontId="0" fillId="16" borderId="16" xfId="0" applyFill="1" applyBorder="1"/>
    <xf numFmtId="0" fontId="9" fillId="0" borderId="15" xfId="0" applyFont="1" applyBorder="1"/>
    <xf numFmtId="14" fontId="27" fillId="11" borderId="0" xfId="0" applyNumberFormat="1" applyFont="1" applyFill="1" applyBorder="1" applyAlignment="1" applyProtection="1">
      <alignment horizontal="center"/>
    </xf>
    <xf numFmtId="0" fontId="0" fillId="10" borderId="0" xfId="0" applyFill="1" applyProtection="1">
      <protection locked="0"/>
    </xf>
    <xf numFmtId="0" fontId="0" fillId="10" borderId="5" xfId="0" applyFill="1" applyBorder="1" applyProtection="1">
      <protection locked="0"/>
    </xf>
    <xf numFmtId="0" fontId="69" fillId="0" borderId="0" xfId="0" applyFont="1" applyProtection="1"/>
    <xf numFmtId="164" fontId="69" fillId="0" borderId="0" xfId="0" applyNumberFormat="1" applyFont="1" applyProtection="1"/>
    <xf numFmtId="0" fontId="69" fillId="0" borderId="5" xfId="0" applyFont="1" applyBorder="1" applyAlignment="1" applyProtection="1">
      <alignment horizontal="right"/>
    </xf>
    <xf numFmtId="0" fontId="69" fillId="0" borderId="5" xfId="0" applyFont="1" applyBorder="1" applyProtection="1"/>
    <xf numFmtId="0" fontId="99" fillId="0" borderId="0" xfId="0" applyFont="1" applyFill="1" applyBorder="1"/>
    <xf numFmtId="0" fontId="99" fillId="0" borderId="0" xfId="0" applyFont="1" applyBorder="1"/>
    <xf numFmtId="0" fontId="100" fillId="18" borderId="0" xfId="0" applyFont="1" applyFill="1" applyBorder="1" applyAlignment="1" applyProtection="1">
      <alignment horizontal="center" vertical="center"/>
    </xf>
    <xf numFmtId="0" fontId="2" fillId="0" borderId="0" xfId="0" applyFont="1"/>
    <xf numFmtId="0" fontId="101" fillId="0" borderId="0" xfId="0" applyFont="1"/>
    <xf numFmtId="0" fontId="102" fillId="0" borderId="0" xfId="0" applyFont="1"/>
    <xf numFmtId="0" fontId="0" fillId="18" borderId="0" xfId="0" applyFill="1"/>
    <xf numFmtId="0" fontId="2" fillId="0" borderId="23" xfId="0" applyFont="1" applyBorder="1" applyAlignment="1">
      <alignment horizontal="left"/>
    </xf>
    <xf numFmtId="0" fontId="105" fillId="0" borderId="0" xfId="0" applyFont="1"/>
    <xf numFmtId="0" fontId="106" fillId="0" borderId="0" xfId="0" applyFont="1"/>
    <xf numFmtId="0" fontId="100" fillId="18" borderId="0" xfId="0" applyFont="1" applyFill="1" applyAlignment="1" applyProtection="1">
      <alignment horizontal="right"/>
    </xf>
    <xf numFmtId="0" fontId="100" fillId="18" borderId="0" xfId="0" applyFont="1" applyFill="1" applyBorder="1" applyAlignment="1" applyProtection="1">
      <alignment horizontal="right"/>
    </xf>
    <xf numFmtId="0" fontId="107" fillId="18" borderId="13" xfId="0" applyFont="1" applyFill="1" applyBorder="1" applyAlignment="1">
      <alignment vertical="center"/>
    </xf>
    <xf numFmtId="0" fontId="109" fillId="17" borderId="2" xfId="0" applyFont="1" applyFill="1" applyBorder="1" applyAlignment="1">
      <alignment horizontal="left" vertical="center"/>
    </xf>
    <xf numFmtId="0" fontId="107" fillId="17" borderId="2" xfId="0" applyFont="1" applyFill="1" applyBorder="1" applyAlignment="1">
      <alignment vertical="center"/>
    </xf>
    <xf numFmtId="0" fontId="52" fillId="17" borderId="2" xfId="0" applyFont="1" applyFill="1" applyBorder="1" applyAlignment="1">
      <alignment vertical="center"/>
    </xf>
    <xf numFmtId="0" fontId="52" fillId="17" borderId="3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107" fillId="18" borderId="14" xfId="0" applyFont="1" applyFill="1" applyBorder="1" applyAlignment="1">
      <alignment vertical="top"/>
    </xf>
    <xf numFmtId="0" fontId="110" fillId="17" borderId="37" xfId="0" applyFont="1" applyFill="1" applyBorder="1" applyAlignment="1">
      <alignment vertical="top"/>
    </xf>
    <xf numFmtId="0" fontId="52" fillId="17" borderId="37" xfId="0" applyFont="1" applyFill="1" applyBorder="1" applyAlignment="1">
      <alignment vertical="top"/>
    </xf>
    <xf numFmtId="0" fontId="52" fillId="17" borderId="38" xfId="0" applyFont="1" applyFill="1" applyBorder="1" applyAlignment="1">
      <alignment vertical="top"/>
    </xf>
    <xf numFmtId="0" fontId="52" fillId="0" borderId="14" xfId="0" applyFont="1" applyFill="1" applyBorder="1" applyAlignment="1">
      <alignment vertical="top"/>
    </xf>
    <xf numFmtId="0" fontId="52" fillId="0" borderId="0" xfId="0" applyFont="1" applyFill="1" applyAlignment="1">
      <alignment vertical="top"/>
    </xf>
    <xf numFmtId="0" fontId="107" fillId="18" borderId="14" xfId="0" applyFont="1" applyFill="1" applyBorder="1" applyAlignment="1">
      <alignment vertical="center"/>
    </xf>
    <xf numFmtId="0" fontId="112" fillId="17" borderId="0" xfId="0" applyFont="1" applyFill="1" applyBorder="1" applyAlignment="1">
      <alignment vertical="center"/>
    </xf>
    <xf numFmtId="0" fontId="113" fillId="17" borderId="0" xfId="1" applyFont="1" applyFill="1" applyBorder="1" applyAlignment="1" applyProtection="1">
      <alignment vertical="center"/>
    </xf>
    <xf numFmtId="0" fontId="116" fillId="17" borderId="14" xfId="0" applyFont="1" applyFill="1" applyBorder="1" applyAlignment="1">
      <alignment vertical="center" wrapText="1"/>
    </xf>
    <xf numFmtId="0" fontId="107" fillId="17" borderId="0" xfId="0" applyFont="1" applyFill="1" applyBorder="1" applyAlignment="1">
      <alignment vertical="center"/>
    </xf>
    <xf numFmtId="0" fontId="107" fillId="17" borderId="4" xfId="0" applyFont="1" applyFill="1" applyBorder="1" applyAlignment="1">
      <alignment vertical="center"/>
    </xf>
    <xf numFmtId="0" fontId="107" fillId="0" borderId="14" xfId="0" applyFont="1" applyFill="1" applyBorder="1" applyAlignment="1">
      <alignment vertical="center"/>
    </xf>
    <xf numFmtId="0" fontId="107" fillId="0" borderId="0" xfId="0" applyFont="1" applyFill="1" applyAlignment="1">
      <alignment vertical="center"/>
    </xf>
    <xf numFmtId="0" fontId="52" fillId="18" borderId="14" xfId="0" applyFont="1" applyFill="1" applyBorder="1"/>
    <xf numFmtId="0" fontId="112" fillId="17" borderId="0" xfId="0" applyFont="1" applyFill="1" applyBorder="1"/>
    <xf numFmtId="0" fontId="0" fillId="17" borderId="14" xfId="0" applyFill="1" applyBorder="1" applyAlignment="1"/>
    <xf numFmtId="0" fontId="52" fillId="0" borderId="0" xfId="0" applyFont="1" applyFill="1"/>
    <xf numFmtId="0" fontId="52" fillId="17" borderId="14" xfId="0" applyFont="1" applyFill="1" applyBorder="1"/>
    <xf numFmtId="0" fontId="52" fillId="18" borderId="15" xfId="0" applyFont="1" applyFill="1" applyBorder="1"/>
    <xf numFmtId="0" fontId="112" fillId="17" borderId="5" xfId="0" applyFont="1" applyFill="1" applyBorder="1"/>
    <xf numFmtId="0" fontId="112" fillId="17" borderId="15" xfId="0" applyFont="1" applyFill="1" applyBorder="1"/>
    <xf numFmtId="0" fontId="52" fillId="17" borderId="15" xfId="0" applyFont="1" applyFill="1" applyBorder="1"/>
    <xf numFmtId="0" fontId="52" fillId="17" borderId="5" xfId="0" applyFont="1" applyFill="1" applyBorder="1"/>
    <xf numFmtId="0" fontId="52" fillId="17" borderId="6" xfId="0" applyFont="1" applyFill="1" applyBorder="1"/>
    <xf numFmtId="0" fontId="52" fillId="0" borderId="15" xfId="0" applyFont="1" applyFill="1" applyBorder="1"/>
    <xf numFmtId="0" fontId="52" fillId="0" borderId="5" xfId="0" applyFont="1" applyFill="1" applyBorder="1"/>
    <xf numFmtId="0" fontId="117" fillId="0" borderId="0" xfId="0" applyFont="1" applyFill="1"/>
    <xf numFmtId="0" fontId="118" fillId="0" borderId="0" xfId="0" applyFont="1" applyFill="1" applyAlignment="1">
      <alignment horizontal="right" vertical="center"/>
    </xf>
    <xf numFmtId="0" fontId="119" fillId="0" borderId="0" xfId="0" applyFont="1" applyFill="1"/>
    <xf numFmtId="0" fontId="118" fillId="0" borderId="0" xfId="0" applyFont="1"/>
    <xf numFmtId="0" fontId="52" fillId="0" borderId="0" xfId="0" applyFont="1"/>
    <xf numFmtId="0" fontId="52" fillId="0" borderId="0" xfId="0" applyFont="1" applyFill="1" applyBorder="1"/>
    <xf numFmtId="0" fontId="3" fillId="0" borderId="0" xfId="1" applyFill="1" applyAlignment="1" applyProtection="1"/>
    <xf numFmtId="0" fontId="121" fillId="0" borderId="0" xfId="0" applyFont="1" applyFill="1" applyAlignment="1">
      <alignment horizontal="right" vertical="center"/>
    </xf>
    <xf numFmtId="0" fontId="117" fillId="5" borderId="0" xfId="0" applyFont="1" applyFill="1" applyBorder="1" applyAlignment="1" applyProtection="1">
      <alignment horizontal="left"/>
    </xf>
    <xf numFmtId="0" fontId="52" fillId="0" borderId="0" xfId="0" applyFont="1" applyBorder="1" applyProtection="1"/>
    <xf numFmtId="0" fontId="52" fillId="0" borderId="0" xfId="0" applyFont="1" applyAlignment="1" applyProtection="1">
      <alignment horizontal="right" vertical="center"/>
    </xf>
    <xf numFmtId="0" fontId="52" fillId="5" borderId="0" xfId="0" applyFont="1" applyFill="1" applyAlignment="1" applyProtection="1">
      <alignment horizontal="left"/>
    </xf>
    <xf numFmtId="0" fontId="116" fillId="5" borderId="0" xfId="0" applyFont="1" applyFill="1" applyAlignment="1" applyProtection="1">
      <alignment horizontal="left"/>
    </xf>
    <xf numFmtId="0" fontId="52" fillId="0" borderId="0" xfId="0" applyFont="1" applyFill="1" applyAlignment="1">
      <alignment horizontal="left"/>
    </xf>
    <xf numFmtId="0" fontId="52" fillId="0" borderId="0" xfId="0" applyNumberFormat="1" applyFont="1" applyFill="1" applyAlignment="1">
      <alignment horizontal="left"/>
    </xf>
    <xf numFmtId="0" fontId="79" fillId="0" borderId="0" xfId="1" applyFont="1" applyAlignment="1" applyProtection="1">
      <alignment horizontal="left"/>
    </xf>
    <xf numFmtId="0" fontId="100" fillId="18" borderId="1" xfId="0" applyFont="1" applyFill="1" applyBorder="1" applyAlignment="1" applyProtection="1">
      <alignment horizontal="right"/>
    </xf>
    <xf numFmtId="0" fontId="9" fillId="5" borderId="1" xfId="0" applyFont="1" applyFill="1" applyBorder="1" applyAlignment="1" applyProtection="1">
      <alignment horizontal="left" vertical="center"/>
    </xf>
    <xf numFmtId="0" fontId="0" fillId="17" borderId="0" xfId="0" applyFill="1" applyBorder="1" applyProtection="1"/>
    <xf numFmtId="0" fontId="59" fillId="17" borderId="0" xfId="0" applyFont="1" applyFill="1" applyBorder="1" applyAlignment="1" applyProtection="1">
      <alignment horizontal="right"/>
    </xf>
    <xf numFmtId="0" fontId="59" fillId="17" borderId="0" xfId="0" applyFont="1" applyFill="1" applyBorder="1" applyAlignment="1" applyProtection="1">
      <alignment horizontal="center"/>
    </xf>
    <xf numFmtId="0" fontId="97" fillId="17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>
      <protection locked="0"/>
    </xf>
    <xf numFmtId="0" fontId="124" fillId="17" borderId="13" xfId="0" applyFont="1" applyFill="1" applyBorder="1" applyProtection="1"/>
    <xf numFmtId="0" fontId="124" fillId="17" borderId="14" xfId="0" applyFont="1" applyFill="1" applyBorder="1" applyProtection="1"/>
    <xf numFmtId="0" fontId="0" fillId="17" borderId="4" xfId="0" applyFill="1" applyBorder="1" applyProtection="1"/>
    <xf numFmtId="0" fontId="0" fillId="17" borderId="4" xfId="0" applyFill="1" applyBorder="1" applyAlignment="1" applyProtection="1">
      <alignment horizontal="right"/>
    </xf>
    <xf numFmtId="0" fontId="59" fillId="17" borderId="14" xfId="0" applyFont="1" applyFill="1" applyBorder="1" applyProtection="1"/>
    <xf numFmtId="166" fontId="0" fillId="17" borderId="4" xfId="0" applyNumberFormat="1" applyFill="1" applyBorder="1" applyProtection="1"/>
    <xf numFmtId="0" fontId="59" fillId="17" borderId="14" xfId="0" applyFont="1" applyFill="1" applyBorder="1" applyAlignment="1" applyProtection="1">
      <alignment horizontal="right"/>
    </xf>
    <xf numFmtId="0" fontId="59" fillId="17" borderId="4" xfId="0" applyFont="1" applyFill="1" applyBorder="1" applyProtection="1"/>
    <xf numFmtId="0" fontId="59" fillId="17" borderId="4" xfId="0" applyFont="1" applyFill="1" applyBorder="1" applyAlignment="1" applyProtection="1">
      <alignment horizontal="left"/>
    </xf>
    <xf numFmtId="0" fontId="59" fillId="17" borderId="4" xfId="0" applyFont="1" applyFill="1" applyBorder="1" applyAlignment="1" applyProtection="1">
      <alignment horizontal="center"/>
    </xf>
    <xf numFmtId="0" fontId="0" fillId="17" borderId="15" xfId="0" applyFill="1" applyBorder="1" applyProtection="1"/>
    <xf numFmtId="0" fontId="0" fillId="17" borderId="5" xfId="0" applyFill="1" applyBorder="1" applyProtection="1"/>
    <xf numFmtId="0" fontId="59" fillId="17" borderId="5" xfId="0" applyFont="1" applyFill="1" applyBorder="1" applyAlignment="1" applyProtection="1">
      <alignment horizontal="center"/>
    </xf>
    <xf numFmtId="0" fontId="59" fillId="17" borderId="5" xfId="0" applyFont="1" applyFill="1" applyBorder="1" applyProtection="1"/>
    <xf numFmtId="0" fontId="59" fillId="17" borderId="6" xfId="0" applyFont="1" applyFill="1" applyBorder="1" applyProtection="1"/>
    <xf numFmtId="0" fontId="2" fillId="17" borderId="0" xfId="0" applyFont="1" applyFill="1" applyBorder="1" applyProtection="1"/>
    <xf numFmtId="0" fontId="0" fillId="17" borderId="2" xfId="0" applyFill="1" applyBorder="1" applyProtection="1"/>
    <xf numFmtId="0" fontId="0" fillId="17" borderId="3" xfId="0" applyFill="1" applyBorder="1" applyProtection="1"/>
    <xf numFmtId="0" fontId="0" fillId="17" borderId="14" xfId="0" applyFill="1" applyBorder="1" applyProtection="1"/>
    <xf numFmtId="0" fontId="59" fillId="17" borderId="39" xfId="0" applyFont="1" applyFill="1" applyBorder="1" applyAlignment="1" applyProtection="1">
      <alignment horizontal="center"/>
    </xf>
    <xf numFmtId="0" fontId="97" fillId="17" borderId="40" xfId="0" applyFont="1" applyFill="1" applyBorder="1" applyAlignment="1" applyProtection="1">
      <alignment horizontal="right"/>
    </xf>
    <xf numFmtId="0" fontId="59" fillId="17" borderId="41" xfId="0" applyFont="1" applyFill="1" applyBorder="1" applyAlignment="1" applyProtection="1">
      <alignment horizontal="center"/>
    </xf>
    <xf numFmtId="0" fontId="59" fillId="17" borderId="42" xfId="0" applyFont="1" applyFill="1" applyBorder="1" applyAlignment="1" applyProtection="1">
      <alignment horizontal="right"/>
    </xf>
    <xf numFmtId="0" fontId="59" fillId="17" borderId="40" xfId="0" applyFont="1" applyFill="1" applyBorder="1" applyAlignment="1" applyProtection="1">
      <alignment horizontal="center"/>
    </xf>
    <xf numFmtId="0" fontId="59" fillId="17" borderId="42" xfId="0" applyFont="1" applyFill="1" applyBorder="1" applyAlignment="1" applyProtection="1">
      <alignment horizontal="center"/>
    </xf>
    <xf numFmtId="0" fontId="36" fillId="5" borderId="0" xfId="0" applyFont="1" applyFill="1" applyBorder="1" applyProtection="1"/>
    <xf numFmtId="0" fontId="37" fillId="5" borderId="0" xfId="0" applyFont="1" applyFill="1" applyBorder="1" applyAlignment="1" applyProtection="1">
      <alignment horizontal="center"/>
    </xf>
    <xf numFmtId="0" fontId="37" fillId="5" borderId="0" xfId="0" applyFont="1" applyFill="1" applyBorder="1" applyProtection="1"/>
    <xf numFmtId="0" fontId="52" fillId="0" borderId="0" xfId="0" applyFont="1" applyBorder="1"/>
    <xf numFmtId="0" fontId="120" fillId="0" borderId="0" xfId="1" applyFont="1" applyAlignment="1" applyProtection="1"/>
    <xf numFmtId="0" fontId="79" fillId="0" borderId="0" xfId="1" applyFont="1" applyBorder="1" applyAlignment="1" applyProtection="1">
      <alignment horizontal="center"/>
    </xf>
    <xf numFmtId="0" fontId="36" fillId="18" borderId="1" xfId="0" applyFont="1" applyFill="1" applyBorder="1" applyAlignment="1" applyProtection="1">
      <alignment vertical="center"/>
    </xf>
    <xf numFmtId="0" fontId="123" fillId="18" borderId="1" xfId="0" applyFont="1" applyFill="1" applyBorder="1" applyAlignment="1" applyProtection="1">
      <alignment vertical="center"/>
    </xf>
    <xf numFmtId="0" fontId="36" fillId="18" borderId="1" xfId="0" applyFont="1" applyFill="1" applyBorder="1" applyAlignment="1" applyProtection="1">
      <alignment horizontal="left" vertical="center"/>
    </xf>
    <xf numFmtId="0" fontId="27" fillId="18" borderId="1" xfId="0" applyFont="1" applyFill="1" applyBorder="1" applyAlignment="1" applyProtection="1">
      <alignment horizontal="right" vertical="center"/>
    </xf>
    <xf numFmtId="0" fontId="27" fillId="18" borderId="1" xfId="0" applyFont="1" applyFill="1" applyBorder="1" applyAlignment="1" applyProtection="1">
      <alignment vertical="center"/>
    </xf>
    <xf numFmtId="0" fontId="37" fillId="18" borderId="1" xfId="0" applyFont="1" applyFill="1" applyBorder="1" applyAlignment="1" applyProtection="1">
      <alignment horizontal="center" vertical="center"/>
    </xf>
    <xf numFmtId="0" fontId="38" fillId="18" borderId="1" xfId="0" applyFont="1" applyFill="1" applyBorder="1" applyAlignment="1" applyProtection="1">
      <alignment vertical="center"/>
    </xf>
    <xf numFmtId="0" fontId="37" fillId="18" borderId="1" xfId="0" applyFont="1" applyFill="1" applyBorder="1" applyAlignment="1" applyProtection="1">
      <alignment vertical="center"/>
    </xf>
    <xf numFmtId="0" fontId="29" fillId="18" borderId="1" xfId="1" applyFont="1" applyFill="1" applyBorder="1" applyAlignment="1" applyProtection="1">
      <alignment vertical="center"/>
    </xf>
    <xf numFmtId="0" fontId="108" fillId="17" borderId="2" xfId="0" applyFont="1" applyFill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126" fillId="18" borderId="0" xfId="0" applyFont="1" applyFill="1"/>
    <xf numFmtId="0" fontId="102" fillId="18" borderId="0" xfId="0" applyFont="1" applyFill="1"/>
    <xf numFmtId="0" fontId="1" fillId="0" borderId="0" xfId="4"/>
    <xf numFmtId="0" fontId="2" fillId="0" borderId="0" xfId="4" applyFont="1"/>
    <xf numFmtId="0" fontId="40" fillId="0" borderId="0" xfId="4" applyFont="1"/>
    <xf numFmtId="0" fontId="2" fillId="0" borderId="0" xfId="4" quotePrefix="1" applyFont="1"/>
    <xf numFmtId="0" fontId="127" fillId="0" borderId="0" xfId="4" applyFont="1" applyAlignment="1">
      <alignment horizontal="left" vertical="top" wrapText="1"/>
    </xf>
    <xf numFmtId="0" fontId="99" fillId="0" borderId="0" xfId="4" applyFont="1"/>
    <xf numFmtId="0" fontId="99" fillId="0" borderId="0" xfId="4" applyFont="1" applyAlignment="1">
      <alignment vertical="center"/>
    </xf>
    <xf numFmtId="0" fontId="108" fillId="17" borderId="2" xfId="0" applyFont="1" applyFill="1" applyBorder="1" applyAlignment="1">
      <alignment vertical="center"/>
    </xf>
    <xf numFmtId="0" fontId="72" fillId="0" borderId="0" xfId="0" applyFont="1" applyAlignment="1" applyProtection="1">
      <alignment horizontal="left"/>
    </xf>
    <xf numFmtId="0" fontId="72" fillId="0" borderId="0" xfId="0" applyFont="1" applyAlignment="1" applyProtection="1">
      <alignment horizontal="center"/>
    </xf>
    <xf numFmtId="0" fontId="102" fillId="0" borderId="0" xfId="0" applyFont="1" applyFill="1"/>
    <xf numFmtId="0" fontId="0" fillId="0" borderId="0" xfId="0" applyFill="1"/>
    <xf numFmtId="0" fontId="3" fillId="0" borderId="0" xfId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9" fontId="55" fillId="0" borderId="20" xfId="0" applyNumberFormat="1" applyFont="1" applyBorder="1" applyAlignment="1" applyProtection="1">
      <alignment horizontal="center" vertical="center"/>
    </xf>
    <xf numFmtId="0" fontId="100" fillId="18" borderId="0" xfId="0" applyFont="1" applyFill="1" applyAlignment="1">
      <alignment horizontal="center"/>
    </xf>
    <xf numFmtId="0" fontId="115" fillId="17" borderId="0" xfId="0" applyFont="1" applyFill="1" applyBorder="1" applyAlignment="1">
      <alignment vertical="center" wrapText="1"/>
    </xf>
    <xf numFmtId="0" fontId="3" fillId="0" borderId="0" xfId="1" applyAlignment="1" applyProtection="1">
      <alignment horizontal="left"/>
    </xf>
    <xf numFmtId="0" fontId="130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133" fillId="0" borderId="0" xfId="5" applyFont="1" applyFill="1" applyBorder="1" applyAlignment="1" applyProtection="1">
      <alignment horizontal="right"/>
    </xf>
    <xf numFmtId="165" fontId="9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left"/>
    </xf>
    <xf numFmtId="1" fontId="9" fillId="0" borderId="0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right"/>
    </xf>
    <xf numFmtId="0" fontId="9" fillId="0" borderId="0" xfId="0" applyFont="1" applyBorder="1"/>
    <xf numFmtId="165" fontId="9" fillId="0" borderId="0" xfId="0" applyNumberFormat="1" applyFont="1" applyBorder="1"/>
    <xf numFmtId="9" fontId="2" fillId="3" borderId="0" xfId="6" applyFont="1" applyFill="1" applyAlignment="1" applyProtection="1">
      <alignment horizontal="center"/>
      <protection locked="0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164" fontId="2" fillId="0" borderId="0" xfId="0" quotePrefix="1" applyNumberFormat="1" applyFont="1" applyAlignment="1">
      <alignment horizontal="left"/>
    </xf>
    <xf numFmtId="0" fontId="134" fillId="0" borderId="0" xfId="0" applyFont="1" applyAlignment="1">
      <alignment horizontal="right"/>
    </xf>
    <xf numFmtId="165" fontId="9" fillId="0" borderId="0" xfId="0" applyNumberFormat="1" applyFont="1"/>
    <xf numFmtId="0" fontId="14" fillId="0" borderId="0" xfId="0" applyFont="1" applyAlignment="1">
      <alignment horizontal="right"/>
    </xf>
    <xf numFmtId="0" fontId="9" fillId="0" borderId="1" xfId="0" applyFont="1" applyBorder="1"/>
    <xf numFmtId="165" fontId="9" fillId="0" borderId="1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left"/>
    </xf>
    <xf numFmtId="0" fontId="2" fillId="0" borderId="23" xfId="0" applyFont="1" applyBorder="1"/>
    <xf numFmtId="0" fontId="9" fillId="0" borderId="5" xfId="0" applyFont="1" applyBorder="1" applyAlignment="1">
      <alignment horizontal="right"/>
    </xf>
    <xf numFmtId="166" fontId="9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2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2" fillId="0" borderId="5" xfId="0" applyFont="1" applyBorder="1"/>
    <xf numFmtId="166" fontId="2" fillId="0" borderId="5" xfId="0" quotePrefix="1" applyNumberFormat="1" applyFont="1" applyBorder="1" applyAlignment="1">
      <alignment horizontal="right"/>
    </xf>
    <xf numFmtId="165" fontId="2" fillId="0" borderId="5" xfId="0" quotePrefix="1" applyNumberFormat="1" applyFont="1" applyBorder="1" applyAlignment="1">
      <alignment horizontal="right"/>
    </xf>
    <xf numFmtId="165" fontId="0" fillId="0" borderId="0" xfId="0" applyNumberFormat="1"/>
    <xf numFmtId="0" fontId="0" fillId="10" borderId="0" xfId="0" applyFill="1" applyAlignment="1">
      <alignment horizontal="center"/>
    </xf>
    <xf numFmtId="166" fontId="2" fillId="0" borderId="0" xfId="0" quotePrefix="1" applyNumberFormat="1" applyFont="1" applyAlignment="1">
      <alignment horizontal="right"/>
    </xf>
    <xf numFmtId="165" fontId="2" fillId="0" borderId="0" xfId="0" quotePrefix="1" applyNumberFormat="1" applyFont="1" applyAlignment="1">
      <alignment horizontal="right"/>
    </xf>
    <xf numFmtId="0" fontId="135" fillId="0" borderId="0" xfId="0" applyFont="1" applyAlignment="1">
      <alignment horizontal="right"/>
    </xf>
    <xf numFmtId="10" fontId="129" fillId="0" borderId="0" xfId="6" applyNumberFormat="1" applyBorder="1" applyAlignment="1">
      <alignment horizontal="left"/>
    </xf>
    <xf numFmtId="165" fontId="135" fillId="0" borderId="0" xfId="0" applyNumberFormat="1" applyFont="1" applyBorder="1"/>
    <xf numFmtId="0" fontId="135" fillId="0" borderId="5" xfId="0" applyFont="1" applyBorder="1" applyAlignment="1">
      <alignment horizontal="right"/>
    </xf>
    <xf numFmtId="166" fontId="9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35" fillId="0" borderId="0" xfId="0" applyFont="1" applyBorder="1"/>
    <xf numFmtId="0" fontId="9" fillId="0" borderId="0" xfId="0" applyFont="1" applyBorder="1" applyAlignment="1">
      <alignment horizontal="right"/>
    </xf>
    <xf numFmtId="165" fontId="9" fillId="0" borderId="0" xfId="0" applyNumberFormat="1" applyFont="1" applyBorder="1" applyAlignment="1">
      <alignment horizontal="left"/>
    </xf>
    <xf numFmtId="0" fontId="2" fillId="0" borderId="1" xfId="0" applyFont="1" applyBorder="1"/>
    <xf numFmtId="10" fontId="0" fillId="0" borderId="0" xfId="0" applyNumberFormat="1"/>
    <xf numFmtId="10" fontId="12" fillId="0" borderId="0" xfId="6" applyNumberFormat="1" applyFont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10" fontId="12" fillId="0" borderId="20" xfId="6" applyNumberFormat="1" applyFont="1" applyBorder="1" applyAlignment="1" applyProtection="1">
      <alignment horizontal="center" vertical="center"/>
    </xf>
    <xf numFmtId="10" fontId="12" fillId="0" borderId="47" xfId="6" applyNumberFormat="1" applyFont="1" applyBorder="1" applyAlignment="1" applyProtection="1">
      <alignment horizontal="center" vertical="center"/>
    </xf>
    <xf numFmtId="10" fontId="80" fillId="0" borderId="17" xfId="6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10" fontId="129" fillId="0" borderId="0" xfId="6" applyNumberFormat="1" applyProtection="1"/>
    <xf numFmtId="9" fontId="129" fillId="0" borderId="0" xfId="6" applyProtection="1"/>
    <xf numFmtId="10" fontId="12" fillId="0" borderId="48" xfId="6" applyNumberFormat="1" applyFont="1" applyBorder="1" applyAlignment="1" applyProtection="1">
      <alignment horizontal="center" vertical="center"/>
    </xf>
    <xf numFmtId="10" fontId="12" fillId="0" borderId="21" xfId="6" applyNumberFormat="1" applyFont="1" applyBorder="1" applyAlignment="1" applyProtection="1">
      <alignment horizontal="center" vertical="center"/>
    </xf>
    <xf numFmtId="10" fontId="12" fillId="0" borderId="49" xfId="6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9" fontId="9" fillId="0" borderId="0" xfId="6" quotePrefix="1" applyFont="1" applyFill="1" applyProtection="1"/>
    <xf numFmtId="10" fontId="80" fillId="0" borderId="18" xfId="6" applyNumberFormat="1" applyFont="1" applyFill="1" applyBorder="1" applyAlignment="1" applyProtection="1">
      <alignment horizontal="center" vertical="center"/>
    </xf>
    <xf numFmtId="10" fontId="12" fillId="0" borderId="50" xfId="6" applyNumberFormat="1" applyFont="1" applyBorder="1" applyAlignment="1" applyProtection="1">
      <alignment horizontal="center" vertical="center"/>
    </xf>
    <xf numFmtId="10" fontId="12" fillId="0" borderId="19" xfId="6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2" fillId="0" borderId="0" xfId="0" applyFont="1" applyProtection="1"/>
    <xf numFmtId="0" fontId="11" fillId="0" borderId="0" xfId="0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left"/>
    </xf>
    <xf numFmtId="10" fontId="129" fillId="0" borderId="0" xfId="6" applyNumberFormat="1" applyFill="1" applyProtection="1"/>
    <xf numFmtId="10" fontId="2" fillId="0" borderId="0" xfId="6" applyNumberFormat="1" applyFont="1" applyFill="1" applyBorder="1" applyProtection="1"/>
    <xf numFmtId="0" fontId="2" fillId="3" borderId="16" xfId="0" applyFont="1" applyFill="1" applyBorder="1" applyAlignment="1" applyProtection="1">
      <alignment horizontal="right"/>
      <protection locked="0"/>
    </xf>
    <xf numFmtId="0" fontId="2" fillId="0" borderId="0" xfId="0" applyFont="1" applyFill="1" applyProtection="1"/>
    <xf numFmtId="0" fontId="136" fillId="0" borderId="0" xfId="0" applyFont="1" applyFill="1" applyBorder="1" applyProtection="1"/>
    <xf numFmtId="10" fontId="129" fillId="0" borderId="0" xfId="6" applyNumberFormat="1" applyFill="1" applyBorder="1" applyProtection="1"/>
    <xf numFmtId="0" fontId="4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29" fillId="5" borderId="0" xfId="5" applyFont="1" applyFill="1" applyAlignment="1" applyProtection="1"/>
    <xf numFmtId="0" fontId="38" fillId="5" borderId="0" xfId="0" applyFont="1" applyFill="1" applyAlignment="1" applyProtection="1">
      <alignment horizontal="center"/>
    </xf>
    <xf numFmtId="0" fontId="38" fillId="5" borderId="0" xfId="0" applyFont="1" applyFill="1" applyAlignment="1" applyProtection="1">
      <alignment horizontal="left"/>
    </xf>
    <xf numFmtId="0" fontId="36" fillId="5" borderId="0" xfId="0" applyFont="1" applyFill="1" applyAlignment="1" applyProtection="1">
      <alignment horizontal="left"/>
    </xf>
    <xf numFmtId="0" fontId="36" fillId="5" borderId="0" xfId="0" applyFont="1" applyFill="1" applyBorder="1" applyAlignment="1" applyProtection="1">
      <alignment horizontal="right"/>
    </xf>
    <xf numFmtId="0" fontId="37" fillId="5" borderId="0" xfId="0" applyFont="1" applyFill="1" applyAlignment="1" applyProtection="1">
      <alignment horizontal="right"/>
    </xf>
    <xf numFmtId="9" fontId="2" fillId="6" borderId="0" xfId="0" applyNumberFormat="1" applyFont="1" applyFill="1" applyAlignment="1">
      <alignment horizontal="center"/>
    </xf>
    <xf numFmtId="0" fontId="2" fillId="0" borderId="23" xfId="0" applyFont="1" applyFill="1" applyBorder="1"/>
    <xf numFmtId="0" fontId="0" fillId="12" borderId="0" xfId="0" applyFill="1"/>
    <xf numFmtId="0" fontId="2" fillId="6" borderId="24" xfId="0" applyFont="1" applyFill="1" applyBorder="1" applyAlignment="1" applyProtection="1">
      <alignment horizontal="center" vertical="center"/>
      <protection locked="0"/>
    </xf>
    <xf numFmtId="9" fontId="2" fillId="6" borderId="16" xfId="0" applyNumberFormat="1" applyFont="1" applyFill="1" applyBorder="1" applyAlignment="1" applyProtection="1">
      <alignment horizontal="right"/>
      <protection locked="0"/>
    </xf>
    <xf numFmtId="0" fontId="2" fillId="6" borderId="16" xfId="0" applyFont="1" applyFill="1" applyBorder="1" applyAlignment="1" applyProtection="1">
      <alignment horizontal="right"/>
      <protection locked="0"/>
    </xf>
    <xf numFmtId="0" fontId="2" fillId="6" borderId="0" xfId="0" applyFont="1" applyFill="1" applyProtection="1"/>
    <xf numFmtId="0" fontId="31" fillId="6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38" fillId="3" borderId="0" xfId="0" applyFont="1" applyFill="1" applyProtection="1"/>
    <xf numFmtId="0" fontId="29" fillId="3" borderId="0" xfId="5" applyFont="1" applyFill="1" applyAlignment="1" applyProtection="1"/>
    <xf numFmtId="0" fontId="38" fillId="3" borderId="0" xfId="0" applyFont="1" applyFill="1" applyAlignment="1" applyProtection="1">
      <alignment horizontal="center"/>
    </xf>
    <xf numFmtId="0" fontId="38" fillId="3" borderId="0" xfId="0" applyFont="1" applyFill="1" applyAlignment="1" applyProtection="1">
      <alignment horizontal="left"/>
    </xf>
    <xf numFmtId="0" fontId="36" fillId="3" borderId="0" xfId="0" applyFont="1" applyFill="1" applyAlignment="1" applyProtection="1">
      <alignment horizontal="left"/>
    </xf>
    <xf numFmtId="0" fontId="37" fillId="3" borderId="0" xfId="0" applyFont="1" applyFill="1" applyProtection="1"/>
    <xf numFmtId="0" fontId="37" fillId="3" borderId="0" xfId="0" applyFont="1" applyFill="1" applyAlignment="1" applyProtection="1">
      <alignment horizontal="right"/>
    </xf>
    <xf numFmtId="0" fontId="27" fillId="3" borderId="0" xfId="0" applyFont="1" applyFill="1" applyAlignment="1" applyProtection="1">
      <alignment horizontal="right"/>
    </xf>
    <xf numFmtId="0" fontId="36" fillId="3" borderId="0" xfId="0" applyFont="1" applyFill="1" applyBorder="1" applyAlignment="1" applyProtection="1">
      <alignment horizontal="right"/>
    </xf>
    <xf numFmtId="0" fontId="3" fillId="17" borderId="0" xfId="1" applyFill="1" applyBorder="1" applyAlignment="1" applyProtection="1">
      <alignment horizontal="center"/>
    </xf>
    <xf numFmtId="0" fontId="2" fillId="0" borderId="0" xfId="7"/>
    <xf numFmtId="0" fontId="2" fillId="0" borderId="0" xfId="7" applyProtection="1">
      <protection locked="0"/>
    </xf>
    <xf numFmtId="0" fontId="2" fillId="3" borderId="0" xfId="7" applyFill="1" applyProtection="1">
      <protection locked="0"/>
    </xf>
    <xf numFmtId="0" fontId="12" fillId="5" borderId="0" xfId="7" applyFont="1" applyFill="1" applyBorder="1"/>
    <xf numFmtId="0" fontId="38" fillId="5" borderId="0" xfId="7" applyFont="1" applyFill="1" applyBorder="1"/>
    <xf numFmtId="0" fontId="12" fillId="5" borderId="0" xfId="7" applyFont="1" applyFill="1" applyBorder="1" applyProtection="1">
      <protection locked="0"/>
    </xf>
    <xf numFmtId="0" fontId="12" fillId="5" borderId="14" xfId="7" applyFont="1" applyFill="1" applyBorder="1" applyProtection="1">
      <protection locked="0"/>
    </xf>
    <xf numFmtId="0" fontId="138" fillId="5" borderId="0" xfId="7" applyFont="1" applyFill="1" applyBorder="1"/>
    <xf numFmtId="0" fontId="38" fillId="5" borderId="0" xfId="7" applyFont="1" applyFill="1" applyBorder="1" applyProtection="1"/>
    <xf numFmtId="0" fontId="12" fillId="5" borderId="0" xfId="7" applyFont="1" applyFill="1" applyBorder="1" applyProtection="1"/>
    <xf numFmtId="0" fontId="12" fillId="0" borderId="0" xfId="7" applyFont="1"/>
    <xf numFmtId="0" fontId="38" fillId="0" borderId="0" xfId="7" applyFont="1"/>
    <xf numFmtId="14" fontId="37" fillId="0" borderId="0" xfId="7" applyNumberFormat="1" applyFont="1" applyAlignment="1">
      <alignment horizontal="left"/>
    </xf>
    <xf numFmtId="0" fontId="12" fillId="0" borderId="0" xfId="7" applyFont="1" applyProtection="1"/>
    <xf numFmtId="0" fontId="12" fillId="0" borderId="0" xfId="7" applyFont="1" applyProtection="1">
      <protection locked="0"/>
    </xf>
    <xf numFmtId="0" fontId="12" fillId="3" borderId="14" xfId="7" applyFont="1" applyFill="1" applyBorder="1" applyProtection="1">
      <protection locked="0"/>
    </xf>
    <xf numFmtId="0" fontId="100" fillId="18" borderId="0" xfId="7" applyFont="1" applyFill="1" applyAlignment="1">
      <alignment horizontal="center"/>
    </xf>
    <xf numFmtId="0" fontId="9" fillId="0" borderId="1" xfId="7" applyFont="1" applyBorder="1" applyAlignment="1">
      <alignment horizontal="left"/>
    </xf>
    <xf numFmtId="0" fontId="2" fillId="0" borderId="1" xfId="7" applyBorder="1"/>
    <xf numFmtId="0" fontId="2" fillId="0" borderId="0" xfId="7" applyProtection="1"/>
    <xf numFmtId="0" fontId="2" fillId="0" borderId="7" xfId="7" applyBorder="1" applyProtection="1">
      <protection locked="0"/>
    </xf>
    <xf numFmtId="0" fontId="2" fillId="0" borderId="8" xfId="7" applyBorder="1" applyProtection="1">
      <protection locked="0"/>
    </xf>
    <xf numFmtId="0" fontId="2" fillId="0" borderId="9" xfId="7" applyBorder="1" applyProtection="1">
      <protection locked="0"/>
    </xf>
    <xf numFmtId="0" fontId="2" fillId="0" borderId="33" xfId="7" applyBorder="1" applyProtection="1">
      <protection locked="0"/>
    </xf>
    <xf numFmtId="0" fontId="2" fillId="0" borderId="0" xfId="7" applyBorder="1" applyProtection="1">
      <protection locked="0"/>
    </xf>
    <xf numFmtId="0" fontId="9" fillId="0" borderId="7" xfId="7" applyFont="1" applyBorder="1" applyProtection="1">
      <protection locked="0"/>
    </xf>
    <xf numFmtId="0" fontId="9" fillId="0" borderId="0" xfId="7" applyFont="1" applyAlignment="1">
      <alignment horizontal="left"/>
    </xf>
    <xf numFmtId="0" fontId="2" fillId="0" borderId="0" xfId="7" applyAlignment="1" applyProtection="1">
      <alignment horizontal="right"/>
      <protection locked="0"/>
    </xf>
    <xf numFmtId="0" fontId="2" fillId="0" borderId="54" xfId="7" applyBorder="1" applyProtection="1">
      <protection locked="0"/>
    </xf>
    <xf numFmtId="0" fontId="2" fillId="0" borderId="10" xfId="7" applyBorder="1" applyProtection="1">
      <protection locked="0"/>
    </xf>
    <xf numFmtId="0" fontId="2" fillId="0" borderId="55" xfId="7" applyBorder="1" applyProtection="1">
      <protection locked="0"/>
    </xf>
    <xf numFmtId="0" fontId="9" fillId="0" borderId="0" xfId="7" applyFont="1" applyAlignment="1">
      <alignment horizontal="right"/>
    </xf>
    <xf numFmtId="0" fontId="2" fillId="0" borderId="0" xfId="7" applyAlignment="1">
      <alignment horizontal="left"/>
    </xf>
    <xf numFmtId="170" fontId="2" fillId="0" borderId="0" xfId="7" applyNumberFormat="1" applyProtection="1"/>
    <xf numFmtId="168" fontId="2" fillId="0" borderId="0" xfId="7" applyNumberFormat="1" applyProtection="1">
      <protection locked="0"/>
    </xf>
    <xf numFmtId="0" fontId="9" fillId="0" borderId="0" xfId="7" applyFont="1" applyAlignment="1" applyProtection="1">
      <alignment horizontal="right"/>
      <protection locked="0"/>
    </xf>
    <xf numFmtId="0" fontId="22" fillId="0" borderId="0" xfId="7" applyFont="1" applyAlignment="1" applyProtection="1">
      <alignment horizontal="right"/>
      <protection locked="0"/>
    </xf>
    <xf numFmtId="0" fontId="9" fillId="0" borderId="54" xfId="7" applyFont="1" applyBorder="1" applyAlignment="1" applyProtection="1">
      <alignment horizontal="right"/>
      <protection locked="0"/>
    </xf>
    <xf numFmtId="0" fontId="9" fillId="0" borderId="0" xfId="7" applyFont="1" applyBorder="1" applyAlignment="1" applyProtection="1">
      <alignment horizontal="right"/>
      <protection locked="0"/>
    </xf>
    <xf numFmtId="0" fontId="9" fillId="0" borderId="10" xfId="7" applyFont="1" applyBorder="1" applyAlignment="1" applyProtection="1">
      <alignment horizontal="right"/>
      <protection locked="0"/>
    </xf>
    <xf numFmtId="0" fontId="9" fillId="0" borderId="55" xfId="7" applyFont="1" applyBorder="1" applyAlignment="1" applyProtection="1">
      <alignment horizontal="right"/>
      <protection locked="0"/>
    </xf>
    <xf numFmtId="0" fontId="9" fillId="0" borderId="30" xfId="7" applyFont="1" applyBorder="1" applyAlignment="1" applyProtection="1">
      <alignment horizontal="right"/>
      <protection locked="0"/>
    </xf>
    <xf numFmtId="0" fontId="9" fillId="0" borderId="31" xfId="7" applyFont="1" applyBorder="1" applyAlignment="1" applyProtection="1">
      <alignment horizontal="right"/>
      <protection locked="0"/>
    </xf>
    <xf numFmtId="0" fontId="9" fillId="0" borderId="32" xfId="7" applyFont="1" applyBorder="1" applyAlignment="1" applyProtection="1">
      <alignment horizontal="right"/>
      <protection locked="0"/>
    </xf>
    <xf numFmtId="0" fontId="9" fillId="3" borderId="0" xfId="7" applyFont="1" applyFill="1" applyAlignment="1" applyProtection="1">
      <alignment horizontal="right"/>
      <protection locked="0"/>
    </xf>
    <xf numFmtId="0" fontId="2" fillId="3" borderId="0" xfId="7" applyFont="1" applyFill="1" applyProtection="1">
      <protection locked="0"/>
    </xf>
    <xf numFmtId="0" fontId="2" fillId="0" borderId="0" xfId="7" applyAlignment="1">
      <alignment horizontal="center"/>
    </xf>
    <xf numFmtId="167" fontId="2" fillId="0" borderId="0" xfId="7" applyNumberFormat="1" applyProtection="1">
      <protection locked="0"/>
    </xf>
    <xf numFmtId="165" fontId="2" fillId="0" borderId="54" xfId="7" applyNumberFormat="1" applyBorder="1" applyProtection="1">
      <protection locked="0"/>
    </xf>
    <xf numFmtId="164" fontId="2" fillId="0" borderId="0" xfId="7" applyNumberFormat="1" applyBorder="1" applyProtection="1">
      <protection locked="0"/>
    </xf>
    <xf numFmtId="164" fontId="2" fillId="0" borderId="10" xfId="7" applyNumberFormat="1" applyBorder="1" applyProtection="1">
      <protection locked="0"/>
    </xf>
    <xf numFmtId="164" fontId="2" fillId="0" borderId="55" xfId="7" applyNumberFormat="1" applyBorder="1" applyProtection="1">
      <protection locked="0"/>
    </xf>
    <xf numFmtId="166" fontId="2" fillId="0" borderId="0" xfId="7" applyNumberFormat="1" applyProtection="1">
      <protection locked="0"/>
    </xf>
    <xf numFmtId="169" fontId="2" fillId="0" borderId="54" xfId="7" applyNumberFormat="1" applyBorder="1" applyProtection="1">
      <protection locked="0"/>
    </xf>
    <xf numFmtId="170" fontId="2" fillId="0" borderId="0" xfId="7" applyNumberFormat="1" applyBorder="1" applyProtection="1">
      <protection locked="0"/>
    </xf>
    <xf numFmtId="0" fontId="139" fillId="0" borderId="0" xfId="7" applyFont="1" applyAlignment="1" applyProtection="1">
      <alignment horizontal="center"/>
    </xf>
    <xf numFmtId="0" fontId="2" fillId="0" borderId="11" xfId="7" applyBorder="1" applyProtection="1">
      <protection locked="0"/>
    </xf>
    <xf numFmtId="0" fontId="2" fillId="0" borderId="1" xfId="7" applyBorder="1" applyProtection="1">
      <protection locked="0"/>
    </xf>
    <xf numFmtId="0" fontId="2" fillId="0" borderId="12" xfId="7" applyBorder="1" applyProtection="1">
      <protection locked="0"/>
    </xf>
    <xf numFmtId="0" fontId="2" fillId="0" borderId="34" xfId="7" applyBorder="1" applyProtection="1">
      <protection locked="0"/>
    </xf>
    <xf numFmtId="0" fontId="9" fillId="0" borderId="0" xfId="7" applyFont="1"/>
    <xf numFmtId="0" fontId="2" fillId="0" borderId="0" xfId="7" applyFont="1"/>
    <xf numFmtId="0" fontId="25" fillId="0" borderId="0" xfId="7" applyFont="1"/>
    <xf numFmtId="0" fontId="2" fillId="0" borderId="0" xfId="7" applyBorder="1"/>
    <xf numFmtId="0" fontId="2" fillId="0" borderId="0" xfId="7" applyBorder="1" applyAlignment="1">
      <alignment horizontal="left"/>
    </xf>
    <xf numFmtId="165" fontId="2" fillId="0" borderId="0" xfId="7" applyNumberFormat="1" applyFont="1"/>
    <xf numFmtId="165" fontId="2" fillId="0" borderId="0" xfId="7" applyNumberFormat="1" applyFont="1" applyAlignment="1">
      <alignment horizontal="center"/>
    </xf>
    <xf numFmtId="164" fontId="2" fillId="0" borderId="0" xfId="7" applyNumberFormat="1" applyBorder="1" applyAlignment="1">
      <alignment horizontal="right"/>
    </xf>
    <xf numFmtId="0" fontId="2" fillId="3" borderId="0" xfId="7" applyFill="1" applyAlignment="1" applyProtection="1">
      <alignment horizontal="center"/>
      <protection locked="0"/>
    </xf>
    <xf numFmtId="0" fontId="2" fillId="0" borderId="0" xfId="7" applyFill="1" applyAlignment="1">
      <alignment horizontal="right"/>
    </xf>
    <xf numFmtId="0" fontId="2" fillId="0" borderId="0" xfId="7" applyFont="1" applyFill="1" applyAlignment="1">
      <alignment horizontal="left"/>
    </xf>
    <xf numFmtId="0" fontId="2" fillId="3" borderId="0" xfId="7" applyFont="1" applyFill="1" applyAlignment="1" applyProtection="1">
      <alignment horizontal="center"/>
      <protection locked="0"/>
    </xf>
    <xf numFmtId="0" fontId="81" fillId="0" borderId="0" xfId="7" applyFont="1"/>
    <xf numFmtId="0" fontId="4" fillId="0" borderId="0" xfId="7" applyFont="1"/>
    <xf numFmtId="0" fontId="4" fillId="0" borderId="0" xfId="7" applyFont="1" applyFill="1" applyAlignment="1">
      <alignment horizontal="left"/>
    </xf>
    <xf numFmtId="0" fontId="100" fillId="18" borderId="1" xfId="7" applyFont="1" applyFill="1" applyBorder="1" applyAlignment="1">
      <alignment horizontal="center"/>
    </xf>
    <xf numFmtId="0" fontId="9" fillId="0" borderId="1" xfId="7" applyFont="1" applyBorder="1"/>
    <xf numFmtId="0" fontId="4" fillId="0" borderId="1" xfId="7" applyFont="1" applyFill="1" applyBorder="1" applyAlignment="1">
      <alignment horizontal="left"/>
    </xf>
    <xf numFmtId="0" fontId="2" fillId="0" borderId="1" xfId="7" applyFont="1" applyBorder="1"/>
    <xf numFmtId="0" fontId="9" fillId="0" borderId="5" xfId="7" applyFont="1" applyBorder="1" applyAlignment="1">
      <alignment horizontal="right"/>
    </xf>
    <xf numFmtId="0" fontId="16" fillId="0" borderId="5" xfId="7" applyFont="1" applyBorder="1" applyAlignment="1">
      <alignment horizontal="center"/>
    </xf>
    <xf numFmtId="0" fontId="140" fillId="0" borderId="5" xfId="7" applyFont="1" applyFill="1" applyBorder="1" applyAlignment="1">
      <alignment horizontal="center"/>
    </xf>
    <xf numFmtId="0" fontId="2" fillId="0" borderId="0" xfId="7" applyFont="1" applyBorder="1"/>
    <xf numFmtId="0" fontId="106" fillId="0" borderId="0" xfId="7" applyFont="1" applyAlignment="1">
      <alignment horizontal="center"/>
    </xf>
    <xf numFmtId="0" fontId="23" fillId="0" borderId="0" xfId="7" applyFont="1"/>
    <xf numFmtId="165" fontId="2" fillId="0" borderId="0" xfId="7" applyNumberFormat="1" applyAlignment="1">
      <alignment horizontal="center"/>
    </xf>
    <xf numFmtId="166" fontId="2" fillId="0" borderId="0" xfId="7" applyNumberFormat="1" applyAlignment="1">
      <alignment horizontal="center"/>
    </xf>
    <xf numFmtId="0" fontId="106" fillId="0" borderId="0" xfId="7" applyFont="1" applyAlignment="1">
      <alignment horizontal="right"/>
    </xf>
    <xf numFmtId="0" fontId="106" fillId="0" borderId="0" xfId="7" applyFont="1" applyAlignment="1">
      <alignment horizontal="left"/>
    </xf>
    <xf numFmtId="0" fontId="23" fillId="0" borderId="5" xfId="7" applyFont="1" applyBorder="1"/>
    <xf numFmtId="165" fontId="2" fillId="0" borderId="5" xfId="7" applyNumberFormat="1" applyBorder="1" applyAlignment="1">
      <alignment horizontal="center"/>
    </xf>
    <xf numFmtId="166" fontId="2" fillId="0" borderId="5" xfId="7" applyNumberFormat="1" applyBorder="1" applyAlignment="1">
      <alignment horizontal="center"/>
    </xf>
    <xf numFmtId="0" fontId="2" fillId="0" borderId="0" xfId="7" applyAlignment="1">
      <alignment horizontal="right"/>
    </xf>
    <xf numFmtId="0" fontId="9" fillId="0" borderId="0" xfId="7" applyFont="1" applyAlignment="1">
      <alignment horizontal="center"/>
    </xf>
    <xf numFmtId="0" fontId="142" fillId="0" borderId="56" xfId="7" applyFont="1" applyBorder="1" applyAlignment="1">
      <alignment horizontal="center"/>
    </xf>
    <xf numFmtId="166" fontId="2" fillId="0" borderId="56" xfId="7" applyNumberFormat="1" applyBorder="1"/>
    <xf numFmtId="166" fontId="2" fillId="0" borderId="50" xfId="7" applyNumberFormat="1" applyBorder="1"/>
    <xf numFmtId="0" fontId="143" fillId="0" borderId="0" xfId="7" applyFont="1"/>
    <xf numFmtId="0" fontId="142" fillId="0" borderId="16" xfId="7" applyFont="1" applyBorder="1" applyAlignment="1">
      <alignment horizontal="center"/>
    </xf>
    <xf numFmtId="166" fontId="2" fillId="0" borderId="16" xfId="7" applyNumberFormat="1" applyBorder="1"/>
    <xf numFmtId="166" fontId="2" fillId="0" borderId="58" xfId="7" applyNumberFormat="1" applyBorder="1"/>
    <xf numFmtId="0" fontId="70" fillId="0" borderId="0" xfId="7" applyFont="1"/>
    <xf numFmtId="166" fontId="2" fillId="0" borderId="16" xfId="7" applyNumberFormat="1" applyFont="1" applyBorder="1"/>
    <xf numFmtId="0" fontId="142" fillId="0" borderId="59" xfId="7" applyFont="1" applyBorder="1" applyAlignment="1">
      <alignment horizontal="center"/>
    </xf>
    <xf numFmtId="166" fontId="2" fillId="0" borderId="59" xfId="7" applyNumberFormat="1" applyFont="1" applyBorder="1"/>
    <xf numFmtId="166" fontId="2" fillId="0" borderId="59" xfId="7" applyNumberFormat="1" applyBorder="1"/>
    <xf numFmtId="166" fontId="2" fillId="0" borderId="21" xfId="7" applyNumberFormat="1" applyBorder="1"/>
    <xf numFmtId="0" fontId="2" fillId="0" borderId="0" xfId="7" applyBorder="1" applyAlignment="1">
      <alignment horizontal="center"/>
    </xf>
    <xf numFmtId="0" fontId="142" fillId="0" borderId="0" xfId="7" applyFont="1" applyBorder="1" applyAlignment="1">
      <alignment horizontal="center"/>
    </xf>
    <xf numFmtId="166" fontId="2" fillId="0" borderId="0" xfId="7" applyNumberFormat="1" applyBorder="1"/>
    <xf numFmtId="0" fontId="142" fillId="0" borderId="0" xfId="7" applyFont="1" applyBorder="1"/>
    <xf numFmtId="0" fontId="9" fillId="0" borderId="56" xfId="7" applyFont="1" applyBorder="1" applyAlignment="1">
      <alignment horizontal="center"/>
    </xf>
    <xf numFmtId="0" fontId="9" fillId="0" borderId="59" xfId="7" applyFont="1" applyBorder="1" applyAlignment="1">
      <alignment horizontal="center"/>
    </xf>
    <xf numFmtId="0" fontId="9" fillId="0" borderId="0" xfId="7" applyFont="1" applyFill="1" applyBorder="1"/>
    <xf numFmtId="0" fontId="29" fillId="0" borderId="0" xfId="1" applyFont="1" applyFill="1" applyBorder="1" applyAlignment="1" applyProtection="1"/>
    <xf numFmtId="0" fontId="12" fillId="0" borderId="0" xfId="7" applyFont="1" applyBorder="1"/>
    <xf numFmtId="0" fontId="12" fillId="0" borderId="1" xfId="7" applyFont="1" applyFill="1" applyBorder="1"/>
    <xf numFmtId="0" fontId="12" fillId="0" borderId="1" xfId="7" applyFont="1" applyBorder="1"/>
    <xf numFmtId="0" fontId="2" fillId="0" borderId="0" xfId="7" applyFont="1" applyProtection="1">
      <protection locked="0"/>
    </xf>
    <xf numFmtId="169" fontId="2" fillId="0" borderId="0" xfId="7" applyNumberFormat="1"/>
    <xf numFmtId="0" fontId="12" fillId="0" borderId="0" xfId="7" applyFont="1" applyFill="1" applyBorder="1"/>
    <xf numFmtId="0" fontId="36" fillId="3" borderId="0" xfId="7" applyFont="1" applyFill="1"/>
    <xf numFmtId="0" fontId="12" fillId="3" borderId="0" xfId="7" applyFont="1" applyFill="1"/>
    <xf numFmtId="0" fontId="12" fillId="3" borderId="0" xfId="7" applyFont="1" applyFill="1" applyAlignment="1">
      <alignment horizontal="right"/>
    </xf>
    <xf numFmtId="0" fontId="38" fillId="3" borderId="0" xfId="7" applyFont="1" applyFill="1"/>
    <xf numFmtId="0" fontId="29" fillId="3" borderId="0" xfId="1" applyFont="1" applyFill="1" applyAlignment="1" applyProtection="1"/>
    <xf numFmtId="0" fontId="12" fillId="3" borderId="0" xfId="7" applyFont="1" applyFill="1" applyBorder="1"/>
    <xf numFmtId="0" fontId="12" fillId="3" borderId="14" xfId="7" applyFont="1" applyFill="1" applyBorder="1"/>
    <xf numFmtId="0" fontId="37" fillId="3" borderId="0" xfId="7" applyFont="1" applyFill="1"/>
    <xf numFmtId="0" fontId="9" fillId="3" borderId="0" xfId="7" applyFont="1" applyFill="1"/>
    <xf numFmtId="0" fontId="2" fillId="3" borderId="14" xfId="7" applyFill="1" applyBorder="1"/>
    <xf numFmtId="0" fontId="13" fillId="0" borderId="0" xfId="7" applyFont="1" applyFill="1" applyBorder="1"/>
    <xf numFmtId="0" fontId="13" fillId="0" borderId="4" xfId="7" applyFont="1" applyFill="1" applyBorder="1"/>
    <xf numFmtId="0" fontId="13" fillId="0" borderId="0" xfId="7" applyFont="1" applyFill="1"/>
    <xf numFmtId="0" fontId="144" fillId="0" borderId="0" xfId="7" applyFont="1"/>
    <xf numFmtId="0" fontId="2" fillId="3" borderId="0" xfId="7" applyFill="1"/>
    <xf numFmtId="0" fontId="2" fillId="0" borderId="7" xfId="7" applyBorder="1"/>
    <xf numFmtId="0" fontId="2" fillId="0" borderId="8" xfId="7" applyBorder="1"/>
    <xf numFmtId="0" fontId="2" fillId="0" borderId="9" xfId="7" applyBorder="1"/>
    <xf numFmtId="0" fontId="2" fillId="0" borderId="33" xfId="7" applyBorder="1"/>
    <xf numFmtId="0" fontId="9" fillId="0" borderId="7" xfId="7" applyFont="1" applyBorder="1"/>
    <xf numFmtId="0" fontId="35" fillId="0" borderId="0" xfId="7" applyFont="1"/>
    <xf numFmtId="0" fontId="13" fillId="0" borderId="5" xfId="7" applyFont="1" applyFill="1" applyBorder="1"/>
    <xf numFmtId="0" fontId="13" fillId="0" borderId="6" xfId="7" applyFont="1" applyFill="1" applyBorder="1"/>
    <xf numFmtId="0" fontId="13" fillId="0" borderId="15" xfId="7" applyFont="1" applyFill="1" applyBorder="1"/>
    <xf numFmtId="0" fontId="124" fillId="0" borderId="0" xfId="7" applyFont="1"/>
    <xf numFmtId="0" fontId="2" fillId="0" borderId="54" xfId="7" applyBorder="1"/>
    <xf numFmtId="0" fontId="2" fillId="0" borderId="10" xfId="7" applyBorder="1"/>
    <xf numFmtId="0" fontId="2" fillId="0" borderId="55" xfId="7" applyBorder="1"/>
    <xf numFmtId="0" fontId="2" fillId="0" borderId="4" xfId="7" applyBorder="1"/>
    <xf numFmtId="0" fontId="13" fillId="0" borderId="61" xfId="7" applyFont="1" applyFill="1" applyBorder="1"/>
    <xf numFmtId="0" fontId="13" fillId="0" borderId="62" xfId="7" applyFont="1" applyFill="1" applyBorder="1"/>
    <xf numFmtId="0" fontId="2" fillId="0" borderId="0" xfId="7" applyFont="1" applyAlignment="1">
      <alignment horizontal="right"/>
    </xf>
    <xf numFmtId="0" fontId="22" fillId="0" borderId="0" xfId="7" applyFont="1" applyAlignment="1">
      <alignment horizontal="right"/>
    </xf>
    <xf numFmtId="0" fontId="9" fillId="0" borderId="54" xfId="7" applyFont="1" applyBorder="1" applyAlignment="1">
      <alignment horizontal="right"/>
    </xf>
    <xf numFmtId="0" fontId="9" fillId="0" borderId="0" xfId="7" applyFont="1" applyBorder="1" applyAlignment="1">
      <alignment horizontal="right"/>
    </xf>
    <xf numFmtId="0" fontId="9" fillId="0" borderId="10" xfId="7" applyFont="1" applyBorder="1" applyAlignment="1">
      <alignment horizontal="right"/>
    </xf>
    <xf numFmtId="0" fontId="9" fillId="0" borderId="55" xfId="7" applyFont="1" applyBorder="1" applyAlignment="1">
      <alignment horizontal="right"/>
    </xf>
    <xf numFmtId="0" fontId="9" fillId="0" borderId="30" xfId="7" applyFont="1" applyBorder="1" applyAlignment="1">
      <alignment horizontal="right"/>
    </xf>
    <xf numFmtId="0" fontId="9" fillId="0" borderId="31" xfId="7" applyFont="1" applyBorder="1" applyAlignment="1">
      <alignment horizontal="right"/>
    </xf>
    <xf numFmtId="0" fontId="9" fillId="0" borderId="32" xfId="7" applyFont="1" applyBorder="1" applyAlignment="1">
      <alignment horizontal="right"/>
    </xf>
    <xf numFmtId="0" fontId="9" fillId="3" borderId="0" xfId="7" applyFont="1" applyFill="1" applyAlignment="1">
      <alignment horizontal="right"/>
    </xf>
    <xf numFmtId="0" fontId="2" fillId="6" borderId="0" xfId="7" applyFont="1" applyFill="1" applyProtection="1">
      <protection locked="0"/>
    </xf>
    <xf numFmtId="0" fontId="2" fillId="0" borderId="5" xfId="7" applyBorder="1"/>
    <xf numFmtId="0" fontId="2" fillId="0" borderId="6" xfId="7" applyBorder="1"/>
    <xf numFmtId="0" fontId="93" fillId="0" borderId="0" xfId="7" applyFont="1" applyBorder="1"/>
    <xf numFmtId="0" fontId="93" fillId="0" borderId="4" xfId="7" applyFont="1" applyBorder="1"/>
    <xf numFmtId="0" fontId="93" fillId="0" borderId="0" xfId="7" applyFont="1"/>
    <xf numFmtId="165" fontId="2" fillId="0" borderId="54" xfId="7" applyNumberFormat="1" applyBorder="1"/>
    <xf numFmtId="164" fontId="2" fillId="0" borderId="0" xfId="7" applyNumberFormat="1" applyBorder="1"/>
    <xf numFmtId="164" fontId="2" fillId="0" borderId="10" xfId="7" applyNumberFormat="1" applyBorder="1"/>
    <xf numFmtId="164" fontId="2" fillId="0" borderId="55" xfId="7" applyNumberFormat="1" applyBorder="1"/>
    <xf numFmtId="166" fontId="2" fillId="0" borderId="0" xfId="7" applyNumberFormat="1"/>
    <xf numFmtId="169" fontId="2" fillId="0" borderId="54" xfId="7" applyNumberFormat="1" applyBorder="1"/>
    <xf numFmtId="170" fontId="2" fillId="0" borderId="0" xfId="7" applyNumberFormat="1" applyBorder="1"/>
    <xf numFmtId="0" fontId="93" fillId="0" borderId="5" xfId="7" applyFont="1" applyBorder="1"/>
    <xf numFmtId="0" fontId="93" fillId="0" borderId="6" xfId="7" applyFont="1" applyBorder="1"/>
    <xf numFmtId="0" fontId="93" fillId="0" borderId="15" xfId="7" applyFont="1" applyBorder="1"/>
    <xf numFmtId="0" fontId="93" fillId="0" borderId="61" xfId="7" applyFont="1" applyBorder="1"/>
    <xf numFmtId="0" fontId="93" fillId="0" borderId="62" xfId="7" applyFont="1" applyBorder="1"/>
    <xf numFmtId="0" fontId="2" fillId="0" borderId="11" xfId="7" applyBorder="1"/>
    <xf numFmtId="0" fontId="2" fillId="0" borderId="12" xfId="7" applyBorder="1"/>
    <xf numFmtId="0" fontId="2" fillId="0" borderId="34" xfId="7" applyBorder="1"/>
    <xf numFmtId="0" fontId="23" fillId="0" borderId="0" xfId="7" applyFont="1" applyAlignment="1">
      <alignment horizontal="right"/>
    </xf>
    <xf numFmtId="165" fontId="2" fillId="0" borderId="0" xfId="7" applyNumberFormat="1"/>
    <xf numFmtId="165" fontId="93" fillId="0" borderId="0" xfId="7" applyNumberFormat="1" applyFont="1" applyAlignment="1">
      <alignment horizontal="right"/>
    </xf>
    <xf numFmtId="0" fontId="93" fillId="0" borderId="0" xfId="7" applyFont="1" applyAlignment="1">
      <alignment horizontal="left"/>
    </xf>
    <xf numFmtId="168" fontId="93" fillId="0" borderId="0" xfId="7" applyNumberFormat="1" applyFont="1"/>
    <xf numFmtId="168" fontId="93" fillId="0" borderId="0" xfId="7" applyNumberFormat="1" applyFont="1" applyBorder="1"/>
    <xf numFmtId="164" fontId="9" fillId="0" borderId="0" xfId="7" applyNumberFormat="1" applyFont="1"/>
    <xf numFmtId="0" fontId="93" fillId="0" borderId="1" xfId="7" applyFont="1" applyBorder="1" applyAlignment="1">
      <alignment horizontal="left"/>
    </xf>
    <xf numFmtId="167" fontId="93" fillId="0" borderId="1" xfId="7" applyNumberFormat="1" applyFont="1" applyBorder="1"/>
    <xf numFmtId="167" fontId="93" fillId="0" borderId="0" xfId="7" applyNumberFormat="1" applyFont="1" applyBorder="1"/>
    <xf numFmtId="164" fontId="93" fillId="0" borderId="0" xfId="7" applyNumberFormat="1" applyFont="1"/>
    <xf numFmtId="0" fontId="2" fillId="6" borderId="0" xfId="7" applyFont="1" applyFill="1" applyAlignment="1" applyProtection="1">
      <alignment horizontal="center"/>
      <protection locked="0"/>
    </xf>
    <xf numFmtId="0" fontId="2" fillId="9" borderId="0" xfId="7" applyFill="1" applyAlignment="1">
      <alignment horizontal="right"/>
    </xf>
    <xf numFmtId="0" fontId="23" fillId="0" borderId="0" xfId="7" applyFont="1" applyFill="1" applyAlignment="1">
      <alignment horizontal="left"/>
    </xf>
    <xf numFmtId="0" fontId="2" fillId="9" borderId="0" xfId="7" applyFill="1"/>
    <xf numFmtId="0" fontId="2" fillId="0" borderId="0" xfId="7" applyFont="1" applyBorder="1" applyAlignment="1">
      <alignment horizontal="right"/>
    </xf>
    <xf numFmtId="0" fontId="93" fillId="0" borderId="1" xfId="7" applyFont="1" applyBorder="1"/>
    <xf numFmtId="174" fontId="2" fillId="0" borderId="0" xfId="7" applyNumberFormat="1"/>
    <xf numFmtId="0" fontId="9" fillId="0" borderId="0" xfId="7" applyFont="1" applyBorder="1" applyAlignment="1">
      <alignment horizontal="left"/>
    </xf>
    <xf numFmtId="0" fontId="145" fillId="0" borderId="0" xfId="7" applyFont="1" applyBorder="1"/>
    <xf numFmtId="170" fontId="93" fillId="0" borderId="0" xfId="7" applyNumberFormat="1" applyFont="1"/>
    <xf numFmtId="169" fontId="2" fillId="0" borderId="56" xfId="7" applyNumberFormat="1" applyBorder="1"/>
    <xf numFmtId="169" fontId="2" fillId="0" borderId="50" xfId="7" applyNumberFormat="1" applyBorder="1"/>
    <xf numFmtId="1" fontId="2" fillId="0" borderId="0" xfId="7" applyNumberFormat="1" applyFont="1"/>
    <xf numFmtId="169" fontId="2" fillId="0" borderId="16" xfId="7" applyNumberFormat="1" applyBorder="1"/>
    <xf numFmtId="169" fontId="2" fillId="0" borderId="58" xfId="7" applyNumberFormat="1" applyBorder="1"/>
    <xf numFmtId="169" fontId="2" fillId="0" borderId="16" xfId="7" applyNumberFormat="1" applyFont="1" applyBorder="1"/>
    <xf numFmtId="169" fontId="2" fillId="0" borderId="59" xfId="7" applyNumberFormat="1" applyFont="1" applyBorder="1"/>
    <xf numFmtId="169" fontId="2" fillId="0" borderId="59" xfId="7" applyNumberFormat="1" applyBorder="1"/>
    <xf numFmtId="169" fontId="2" fillId="0" borderId="21" xfId="7" applyNumberFormat="1" applyBorder="1"/>
    <xf numFmtId="169" fontId="2" fillId="0" borderId="0" xfId="7" applyNumberFormat="1" applyBorder="1"/>
    <xf numFmtId="0" fontId="147" fillId="18" borderId="0" xfId="7" applyFont="1" applyFill="1" applyBorder="1"/>
    <xf numFmtId="0" fontId="147" fillId="18" borderId="0" xfId="7" applyFont="1" applyFill="1" applyBorder="1" applyAlignment="1">
      <alignment horizontal="right"/>
    </xf>
    <xf numFmtId="0" fontId="147" fillId="18" borderId="0" xfId="7" applyFont="1" applyFill="1" applyBorder="1" applyProtection="1">
      <protection locked="0"/>
    </xf>
    <xf numFmtId="0" fontId="148" fillId="18" borderId="0" xfId="1" applyFont="1" applyFill="1" applyBorder="1" applyAlignment="1" applyProtection="1">
      <protection locked="0"/>
    </xf>
    <xf numFmtId="0" fontId="147" fillId="18" borderId="14" xfId="7" applyFont="1" applyFill="1" applyBorder="1" applyProtection="1">
      <protection locked="0"/>
    </xf>
    <xf numFmtId="0" fontId="149" fillId="18" borderId="0" xfId="7" applyFont="1" applyFill="1" applyBorder="1"/>
    <xf numFmtId="0" fontId="36" fillId="18" borderId="0" xfId="0" applyFont="1" applyFill="1" applyBorder="1" applyAlignment="1" applyProtection="1">
      <alignment vertical="center"/>
    </xf>
    <xf numFmtId="0" fontId="150" fillId="0" borderId="0" xfId="7" applyFont="1" applyAlignment="1" applyProtection="1">
      <alignment horizontal="center"/>
    </xf>
    <xf numFmtId="0" fontId="52" fillId="0" borderId="0" xfId="0" applyFont="1" applyAlignment="1">
      <alignment horizontal="right"/>
    </xf>
    <xf numFmtId="9" fontId="0" fillId="3" borderId="0" xfId="3" applyFont="1" applyFill="1" applyBorder="1" applyProtection="1">
      <protection locked="0"/>
    </xf>
    <xf numFmtId="9" fontId="2" fillId="3" borderId="5" xfId="3" applyFont="1" applyFill="1" applyBorder="1" applyAlignment="1" applyProtection="1">
      <alignment horizontal="center"/>
      <protection locked="0"/>
    </xf>
    <xf numFmtId="0" fontId="49" fillId="5" borderId="0" xfId="0" applyFont="1" applyFill="1" applyProtection="1"/>
    <xf numFmtId="9" fontId="2" fillId="3" borderId="0" xfId="3" applyFont="1" applyFill="1" applyAlignment="1" applyProtection="1">
      <alignment horizontal="right"/>
    </xf>
    <xf numFmtId="0" fontId="152" fillId="5" borderId="0" xfId="0" applyFont="1" applyFill="1" applyAlignment="1" applyProtection="1">
      <alignment horizontal="left"/>
    </xf>
    <xf numFmtId="164" fontId="70" fillId="5" borderId="0" xfId="0" applyNumberFormat="1" applyFont="1" applyFill="1" applyAlignment="1" applyProtection="1">
      <alignment horizontal="right"/>
    </xf>
    <xf numFmtId="9" fontId="0" fillId="3" borderId="0" xfId="3" applyFont="1" applyFill="1" applyProtection="1">
      <protection locked="0"/>
    </xf>
    <xf numFmtId="0" fontId="114" fillId="17" borderId="46" xfId="0" applyFont="1" applyFill="1" applyBorder="1" applyAlignment="1">
      <alignment horizontal="left" vertical="center" wrapText="1"/>
    </xf>
    <xf numFmtId="0" fontId="114" fillId="17" borderId="44" xfId="0" applyFont="1" applyFill="1" applyBorder="1" applyAlignment="1">
      <alignment horizontal="left" vertical="center" wrapText="1"/>
    </xf>
    <xf numFmtId="0" fontId="115" fillId="17" borderId="44" xfId="0" applyFont="1" applyFill="1" applyBorder="1" applyAlignment="1">
      <alignment horizontal="center" vertical="center" wrapText="1"/>
    </xf>
    <xf numFmtId="0" fontId="115" fillId="17" borderId="45" xfId="0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left"/>
    </xf>
    <xf numFmtId="0" fontId="111" fillId="17" borderId="14" xfId="0" applyFont="1" applyFill="1" applyBorder="1" applyAlignment="1">
      <alignment horizontal="left" wrapText="1"/>
    </xf>
    <xf numFmtId="0" fontId="111" fillId="17" borderId="0" xfId="0" applyFont="1" applyFill="1" applyBorder="1" applyAlignment="1">
      <alignment horizontal="left" wrapText="1"/>
    </xf>
    <xf numFmtId="0" fontId="111" fillId="17" borderId="4" xfId="0" applyFont="1" applyFill="1" applyBorder="1" applyAlignment="1">
      <alignment horizontal="left" wrapText="1"/>
    </xf>
    <xf numFmtId="0" fontId="127" fillId="17" borderId="0" xfId="0" applyFont="1" applyFill="1" applyBorder="1" applyAlignment="1">
      <alignment wrapText="1"/>
    </xf>
    <xf numFmtId="0" fontId="127" fillId="17" borderId="4" xfId="0" applyFont="1" applyFill="1" applyBorder="1" applyAlignment="1">
      <alignment wrapText="1"/>
    </xf>
    <xf numFmtId="0" fontId="112" fillId="17" borderId="14" xfId="0" applyFont="1" applyFill="1" applyBorder="1" applyAlignment="1">
      <alignment horizontal="left"/>
    </xf>
    <xf numFmtId="0" fontId="112" fillId="17" borderId="0" xfId="0" applyFont="1" applyFill="1" applyBorder="1" applyAlignment="1">
      <alignment horizontal="left"/>
    </xf>
    <xf numFmtId="0" fontId="112" fillId="17" borderId="4" xfId="0" applyFont="1" applyFill="1" applyBorder="1" applyAlignment="1">
      <alignment horizontal="left"/>
    </xf>
    <xf numFmtId="0" fontId="3" fillId="0" borderId="0" xfId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 vertical="center" wrapText="1"/>
    </xf>
    <xf numFmtId="0" fontId="18" fillId="5" borderId="30" xfId="0" applyFont="1" applyFill="1" applyBorder="1" applyAlignment="1" applyProtection="1">
      <alignment horizontal="center" vertical="center"/>
    </xf>
    <xf numFmtId="0" fontId="18" fillId="5" borderId="32" xfId="0" applyFont="1" applyFill="1" applyBorder="1" applyAlignment="1" applyProtection="1">
      <alignment horizontal="center" vertical="center"/>
    </xf>
    <xf numFmtId="0" fontId="2" fillId="10" borderId="23" xfId="0" applyFont="1" applyFill="1" applyBorder="1" applyAlignment="1" applyProtection="1">
      <alignment horizontal="left"/>
      <protection locked="0"/>
    </xf>
    <xf numFmtId="0" fontId="18" fillId="10" borderId="23" xfId="0" applyFont="1" applyFill="1" applyBorder="1" applyAlignment="1" applyProtection="1">
      <alignment horizontal="left"/>
      <protection locked="0"/>
    </xf>
    <xf numFmtId="0" fontId="2" fillId="10" borderId="23" xfId="0" applyFont="1" applyFill="1" applyBorder="1" applyAlignment="1" applyProtection="1">
      <alignment horizontal="left" vertical="center"/>
      <protection locked="0"/>
    </xf>
    <xf numFmtId="0" fontId="18" fillId="10" borderId="23" xfId="0" applyFont="1" applyFill="1" applyBorder="1" applyAlignment="1" applyProtection="1">
      <alignment horizontal="left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166" fontId="18" fillId="0" borderId="2" xfId="0" applyNumberFormat="1" applyFont="1" applyBorder="1" applyAlignment="1" applyProtection="1">
      <alignment horizontal="right"/>
    </xf>
    <xf numFmtId="166" fontId="18" fillId="0" borderId="0" xfId="0" applyNumberFormat="1" applyFont="1" applyBorder="1" applyAlignment="1" applyProtection="1">
      <alignment horizontal="right"/>
    </xf>
    <xf numFmtId="165" fontId="18" fillId="0" borderId="2" xfId="0" applyNumberFormat="1" applyFont="1" applyBorder="1" applyAlignment="1" applyProtection="1">
      <alignment horizontal="right"/>
    </xf>
    <xf numFmtId="0" fontId="18" fillId="5" borderId="3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5" fontId="18" fillId="0" borderId="0" xfId="0" applyNumberFormat="1" applyFon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0" fontId="125" fillId="0" borderId="0" xfId="1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9" fillId="0" borderId="5" xfId="0" applyFont="1" applyBorder="1" applyProtection="1"/>
    <xf numFmtId="0" fontId="4" fillId="0" borderId="0" xfId="0" applyFont="1" applyBorder="1" applyAlignment="1" applyProtection="1">
      <alignment horizontal="justify" vertical="top" wrapText="1"/>
    </xf>
    <xf numFmtId="0" fontId="4" fillId="0" borderId="1" xfId="0" applyFont="1" applyBorder="1" applyAlignment="1" applyProtection="1">
      <alignment horizontal="justify" vertical="top" wrapText="1"/>
    </xf>
    <xf numFmtId="0" fontId="9" fillId="0" borderId="1" xfId="0" applyFont="1" applyBorder="1" applyAlignment="1" applyProtection="1">
      <alignment horizontal="center"/>
    </xf>
    <xf numFmtId="0" fontId="128" fillId="0" borderId="8" xfId="1" applyFont="1" applyBorder="1" applyAlignment="1" applyProtection="1">
      <alignment horizontal="left"/>
    </xf>
    <xf numFmtId="10" fontId="104" fillId="5" borderId="2" xfId="3" applyNumberFormat="1" applyFont="1" applyFill="1" applyBorder="1" applyAlignment="1" applyProtection="1">
      <alignment vertical="top" wrapText="1"/>
    </xf>
    <xf numFmtId="10" fontId="104" fillId="5" borderId="0" xfId="3" applyNumberFormat="1" applyFont="1" applyFill="1" applyBorder="1" applyAlignment="1" applyProtection="1">
      <alignment vertical="top" wrapText="1"/>
    </xf>
    <xf numFmtId="164" fontId="80" fillId="5" borderId="5" xfId="0" applyNumberFormat="1" applyFont="1" applyFill="1" applyBorder="1" applyAlignment="1" applyProtection="1">
      <alignment horizontal="center"/>
    </xf>
    <xf numFmtId="0" fontId="59" fillId="17" borderId="0" xfId="0" applyFont="1" applyFill="1" applyBorder="1" applyAlignment="1" applyProtection="1">
      <alignment horizontal="center"/>
    </xf>
    <xf numFmtId="0" fontId="59" fillId="17" borderId="14" xfId="0" applyFont="1" applyFill="1" applyBorder="1" applyAlignment="1" applyProtection="1">
      <alignment horizontal="left"/>
    </xf>
    <xf numFmtId="0" fontId="59" fillId="17" borderId="0" xfId="0" applyFont="1" applyFill="1" applyBorder="1" applyAlignment="1" applyProtection="1">
      <alignment horizontal="left"/>
    </xf>
    <xf numFmtId="0" fontId="59" fillId="17" borderId="14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/>
    </xf>
    <xf numFmtId="0" fontId="2" fillId="5" borderId="52" xfId="0" applyFont="1" applyFill="1" applyBorder="1" applyAlignment="1" applyProtection="1">
      <alignment horizontal="center" vertical="center"/>
    </xf>
    <xf numFmtId="0" fontId="2" fillId="5" borderId="51" xfId="0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left"/>
      <protection locked="0"/>
    </xf>
    <xf numFmtId="0" fontId="3" fillId="5" borderId="8" xfId="1" applyFill="1" applyBorder="1" applyAlignment="1" applyProtection="1">
      <alignment horizontal="left"/>
    </xf>
    <xf numFmtId="0" fontId="95" fillId="0" borderId="0" xfId="0" applyFont="1" applyFill="1" applyAlignment="1" applyProtection="1">
      <alignment horizontal="center" vertical="center" wrapText="1"/>
    </xf>
    <xf numFmtId="0" fontId="3" fillId="5" borderId="0" xfId="1" applyFill="1" applyBorder="1" applyAlignment="1" applyProtection="1">
      <alignment horizontal="center"/>
    </xf>
    <xf numFmtId="0" fontId="9" fillId="0" borderId="53" xfId="7" applyFont="1" applyBorder="1" applyAlignment="1">
      <alignment horizontal="center" vertical="center" wrapText="1"/>
    </xf>
    <xf numFmtId="0" fontId="9" fillId="0" borderId="17" xfId="7" applyFont="1" applyBorder="1" applyAlignment="1">
      <alignment horizontal="center" vertical="center"/>
    </xf>
    <xf numFmtId="0" fontId="9" fillId="0" borderId="56" xfId="7" applyFont="1" applyBorder="1" applyAlignment="1">
      <alignment horizontal="center" wrapText="1"/>
    </xf>
    <xf numFmtId="0" fontId="9" fillId="0" borderId="59" xfId="7" applyFont="1" applyBorder="1" applyAlignment="1">
      <alignment horizontal="center"/>
    </xf>
    <xf numFmtId="0" fontId="9" fillId="0" borderId="56" xfId="7" applyFont="1" applyBorder="1" applyAlignment="1">
      <alignment horizontal="center" vertical="center"/>
    </xf>
    <xf numFmtId="0" fontId="9" fillId="0" borderId="59" xfId="7" applyFont="1" applyBorder="1" applyAlignment="1">
      <alignment horizontal="center" vertical="center"/>
    </xf>
    <xf numFmtId="0" fontId="9" fillId="0" borderId="56" xfId="7" applyFont="1" applyBorder="1" applyAlignment="1">
      <alignment horizontal="center" vertical="center" wrapText="1"/>
    </xf>
    <xf numFmtId="0" fontId="9" fillId="0" borderId="59" xfId="7" applyFont="1" applyBorder="1" applyAlignment="1">
      <alignment horizontal="center" vertical="center" wrapText="1"/>
    </xf>
    <xf numFmtId="0" fontId="9" fillId="0" borderId="60" xfId="7" applyFont="1" applyBorder="1" applyAlignment="1">
      <alignment horizontal="center" vertical="center" wrapText="1"/>
    </xf>
    <xf numFmtId="0" fontId="9" fillId="0" borderId="17" xfId="7" applyFont="1" applyBorder="1" applyAlignment="1">
      <alignment horizontal="center" vertical="center" wrapText="1"/>
    </xf>
    <xf numFmtId="0" fontId="9" fillId="0" borderId="16" xfId="7" applyFont="1" applyBorder="1" applyAlignment="1">
      <alignment horizontal="center" vertical="center" wrapText="1"/>
    </xf>
    <xf numFmtId="0" fontId="9" fillId="0" borderId="16" xfId="7" applyFont="1" applyBorder="1" applyAlignment="1">
      <alignment horizontal="center" vertical="center"/>
    </xf>
    <xf numFmtId="0" fontId="150" fillId="7" borderId="0" xfId="7" applyFont="1" applyFill="1" applyAlignment="1" applyProtection="1">
      <alignment horizontal="center"/>
    </xf>
    <xf numFmtId="0" fontId="9" fillId="0" borderId="0" xfId="7" applyFont="1" applyAlignment="1" applyProtection="1">
      <alignment horizontal="right" wrapText="1"/>
      <protection locked="0"/>
    </xf>
    <xf numFmtId="0" fontId="4" fillId="0" borderId="0" xfId="7" applyFont="1" applyAlignment="1">
      <alignment horizontal="left"/>
    </xf>
    <xf numFmtId="0" fontId="106" fillId="0" borderId="0" xfId="7" applyFont="1" applyAlignment="1">
      <alignment horizontal="right"/>
    </xf>
    <xf numFmtId="0" fontId="9" fillId="0" borderId="19" xfId="7" applyFont="1" applyBorder="1" applyAlignment="1">
      <alignment horizontal="center" vertical="center" wrapText="1"/>
    </xf>
    <xf numFmtId="0" fontId="9" fillId="0" borderId="57" xfId="7" applyFont="1" applyBorder="1" applyAlignment="1">
      <alignment horizontal="center" vertical="center"/>
    </xf>
    <xf numFmtId="0" fontId="9" fillId="0" borderId="49" xfId="7" applyFont="1" applyBorder="1" applyAlignment="1">
      <alignment horizontal="center" vertical="center"/>
    </xf>
    <xf numFmtId="0" fontId="100" fillId="18" borderId="0" xfId="0" applyFont="1" applyFill="1" applyAlignment="1">
      <alignment horizontal="center"/>
    </xf>
    <xf numFmtId="0" fontId="125" fillId="0" borderId="8" xfId="1" applyFont="1" applyBorder="1" applyAlignment="1" applyProtection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14" fontId="36" fillId="3" borderId="0" xfId="0" applyNumberFormat="1" applyFont="1" applyFill="1" applyBorder="1" applyAlignment="1" applyProtection="1">
      <alignment horizontal="left"/>
    </xf>
    <xf numFmtId="0" fontId="2" fillId="6" borderId="23" xfId="0" applyFont="1" applyFill="1" applyBorder="1" applyAlignment="1" applyProtection="1">
      <alignment horizontal="left"/>
      <protection locked="0"/>
    </xf>
    <xf numFmtId="0" fontId="3" fillId="5" borderId="0" xfId="1" applyFill="1" applyBorder="1" applyAlignment="1" applyProtection="1">
      <alignment horizontal="left"/>
    </xf>
    <xf numFmtId="0" fontId="127" fillId="0" borderId="0" xfId="0" applyFont="1" applyAlignment="1">
      <alignment wrapText="1"/>
    </xf>
    <xf numFmtId="0" fontId="127" fillId="0" borderId="5" xfId="0" applyFont="1" applyBorder="1" applyAlignment="1">
      <alignment wrapText="1"/>
    </xf>
    <xf numFmtId="0" fontId="9" fillId="0" borderId="0" xfId="7" applyFont="1" applyAlignment="1">
      <alignment horizontal="right" wrapText="1"/>
    </xf>
    <xf numFmtId="0" fontId="43" fillId="0" borderId="5" xfId="2" applyBorder="1" applyAlignment="1">
      <alignment horizontal="center"/>
    </xf>
    <xf numFmtId="0" fontId="53" fillId="0" borderId="0" xfId="2" applyFont="1" applyAlignment="1">
      <alignment horizontal="left"/>
    </xf>
    <xf numFmtId="14" fontId="76" fillId="12" borderId="0" xfId="0" applyNumberFormat="1" applyFont="1" applyFill="1" applyAlignment="1" applyProtection="1">
      <alignment horizontal="center"/>
    </xf>
    <xf numFmtId="14" fontId="77" fillId="11" borderId="0" xfId="0" applyNumberFormat="1" applyFont="1" applyFill="1" applyAlignment="1" applyProtection="1">
      <alignment horizontal="center"/>
    </xf>
    <xf numFmtId="0" fontId="77" fillId="11" borderId="0" xfId="0" applyFont="1" applyFill="1" applyAlignment="1" applyProtection="1">
      <alignment horizontal="center"/>
    </xf>
    <xf numFmtId="0" fontId="77" fillId="12" borderId="0" xfId="0" applyFont="1" applyFill="1" applyAlignment="1" applyProtection="1">
      <alignment horizontal="left"/>
    </xf>
    <xf numFmtId="0" fontId="56" fillId="0" borderId="0" xfId="0" applyFont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</xf>
    <xf numFmtId="0" fontId="18" fillId="6" borderId="23" xfId="0" applyFont="1" applyFill="1" applyBorder="1" applyAlignment="1" applyProtection="1">
      <alignment horizontal="left"/>
      <protection locked="0"/>
    </xf>
    <xf numFmtId="0" fontId="18" fillId="6" borderId="23" xfId="0" applyFont="1" applyFill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165" fontId="0" fillId="0" borderId="0" xfId="0" quotePrefix="1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/>
    </xf>
    <xf numFmtId="0" fontId="3" fillId="0" borderId="0" xfId="1" applyFill="1" applyAlignment="1" applyProtection="1">
      <alignment horizontal="left"/>
    </xf>
  </cellXfs>
  <cellStyles count="8">
    <cellStyle name="Hipervínculo" xfId="1" builtinId="8"/>
    <cellStyle name="Hipervínculo 2" xfId="5"/>
    <cellStyle name="Normal" xfId="0" builtinId="0"/>
    <cellStyle name="Normal 2" xfId="2"/>
    <cellStyle name="Normal 3" xfId="4"/>
    <cellStyle name="Normal 4" xfId="7"/>
    <cellStyle name="Porcentaje" xfId="3" builtinId="5"/>
    <cellStyle name="Porcentaje 2" xfId="6"/>
  </cellStyles>
  <dxfs count="2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5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strike val="0"/>
        <color rgb="FFC00000"/>
      </font>
    </dxf>
    <dxf>
      <font>
        <b/>
        <i val="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5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018243621186695"/>
          <c:y val="8.1372549019607845E-2"/>
          <c:w val="0.69793971490687889"/>
          <c:h val="0.7764717033428644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'MH01'!$C$24:$D$24</c:f>
              <c:strCache>
                <c:ptCount val="2"/>
                <c:pt idx="0">
                  <c:v>Bradicardia  </c:v>
                </c:pt>
                <c:pt idx="1">
                  <c:v>Si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'MH01'!$E$22:$F$23</c:f>
              <c:multiLvlStrCache>
                <c:ptCount val="2"/>
                <c:lvl>
                  <c:pt idx="0">
                    <c:v>Fenilepinefrina</c:v>
                  </c:pt>
                  <c:pt idx="1">
                    <c:v>Norepinefrina</c:v>
                  </c:pt>
                </c:lvl>
                <c:lvl>
                  <c:pt idx="0">
                    <c:v>Droga</c:v>
                  </c:pt>
                </c:lvl>
              </c:multiLvlStrCache>
            </c:multiLvlStrRef>
          </c:cat>
          <c:val>
            <c:numRef>
              <c:f>'MH01'!$E$24:$F$24</c:f>
              <c:numCache>
                <c:formatCode>General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28-4F47-8C0D-900B876C221F}"/>
            </c:ext>
          </c:extLst>
        </c:ser>
        <c:ser>
          <c:idx val="1"/>
          <c:order val="1"/>
          <c:tx>
            <c:strRef>
              <c:f>'MH01'!$C$25:$D$25</c:f>
              <c:strCache>
                <c:ptCount val="2"/>
                <c:pt idx="0">
                  <c:v>Bradicardia  </c:v>
                </c:pt>
                <c:pt idx="1">
                  <c:v>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'MH01'!$E$22:$F$23</c:f>
              <c:multiLvlStrCache>
                <c:ptCount val="2"/>
                <c:lvl>
                  <c:pt idx="0">
                    <c:v>Fenilepinefrina</c:v>
                  </c:pt>
                  <c:pt idx="1">
                    <c:v>Norepinefrina</c:v>
                  </c:pt>
                </c:lvl>
                <c:lvl>
                  <c:pt idx="0">
                    <c:v>Droga</c:v>
                  </c:pt>
                </c:lvl>
              </c:multiLvlStrCache>
            </c:multiLvlStrRef>
          </c:cat>
          <c:val>
            <c:numRef>
              <c:f>'MH01'!$E$25:$F$25</c:f>
              <c:numCache>
                <c:formatCode>General</c:formatCode>
                <c:ptCount val="2"/>
                <c:pt idx="0">
                  <c:v>30</c:v>
                </c:pt>
                <c:pt idx="1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28-4F47-8C0D-900B876C2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7240600"/>
        <c:axId val="637241384"/>
        <c:axId val="638744704"/>
      </c:bar3DChart>
      <c:catAx>
        <c:axId val="637240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2413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37241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240600"/>
        <c:crosses val="autoZero"/>
        <c:crossBetween val="between"/>
      </c:valAx>
      <c:serAx>
        <c:axId val="6387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24138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C!A1"/><Relationship Id="rId1" Type="http://schemas.openxmlformats.org/officeDocument/2006/relationships/hyperlink" Target="https://creativecommons.org/licenses/by-nc-nd/4.0/?ref=chooser-v1" TargetMode="External"/><Relationship Id="rId4" Type="http://schemas.openxmlformats.org/officeDocument/2006/relationships/hyperlink" Target="https://creativecommons.org/publicdomain/zero/1.0/?ref=chooser-v1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cran.r-project.org/package=DeltaMAN" TargetMode="External"/><Relationship Id="rId3" Type="http://schemas.openxmlformats.org/officeDocument/2006/relationships/hyperlink" Target="https://www.ugr.es/~bioest/software/delta/cmd.php?seccion=home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3.png"/><Relationship Id="rId1" Type="http://schemas.openxmlformats.org/officeDocument/2006/relationships/hyperlink" Target="http://creativecommons.org/licenses/by-nc-nd/3.0/deed.en" TargetMode="External"/><Relationship Id="rId6" Type="http://schemas.openxmlformats.org/officeDocument/2006/relationships/hyperlink" Target="https://wpd.ugr.es/~bioest/delta.php" TargetMode="External"/><Relationship Id="rId11" Type="http://schemas.openxmlformats.org/officeDocument/2006/relationships/image" Target="../media/image8.gif"/><Relationship Id="rId5" Type="http://schemas.openxmlformats.org/officeDocument/2006/relationships/image" Target="../media/image5.png"/><Relationship Id="rId10" Type="http://schemas.openxmlformats.org/officeDocument/2006/relationships/hyperlink" Target="https://www.ugr.es/~bioest/software/delta/Delta.exe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7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publicdomain/zero/1.0/?ref=chooser-v1" TargetMode="External"/><Relationship Id="rId2" Type="http://schemas.openxmlformats.org/officeDocument/2006/relationships/image" Target="../media/image9.png"/><Relationship Id="rId1" Type="http://schemas.openxmlformats.org/officeDocument/2006/relationships/hyperlink" Target="https://creativecommons.org/licenses/by-nc-nd/4.0/" TargetMode="External"/><Relationship Id="rId4" Type="http://schemas.openxmlformats.org/officeDocument/2006/relationships/hyperlink" Target="https://creativecommons.org/licenses/by-nc-nd/4.0/?ref=chooser-v1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3</xdr:row>
      <xdr:rowOff>180975</xdr:rowOff>
    </xdr:to>
    <xdr:sp macro="" textlink="">
      <xdr:nvSpPr>
        <xdr:cNvPr id="2" name="AutoShape 5" descr="https://chooser-beta.creativecommons.org/img/cc-logo.f0ab4ebe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410575" y="952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400050</xdr:colOff>
      <xdr:row>3</xdr:row>
      <xdr:rowOff>0</xdr:rowOff>
    </xdr:from>
    <xdr:to>
      <xdr:col>13</xdr:col>
      <xdr:colOff>590550</xdr:colOff>
      <xdr:row>3</xdr:row>
      <xdr:rowOff>180975</xdr:rowOff>
    </xdr:to>
    <xdr:sp macro="" textlink="">
      <xdr:nvSpPr>
        <xdr:cNvPr id="3" name="AutoShape 7" descr="https://chooser-beta.creativecommons.org/img/cc-nc.218f18fc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810625" y="952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600075</xdr:colOff>
      <xdr:row>3</xdr:row>
      <xdr:rowOff>0</xdr:rowOff>
    </xdr:from>
    <xdr:to>
      <xdr:col>13</xdr:col>
      <xdr:colOff>790575</xdr:colOff>
      <xdr:row>3</xdr:row>
      <xdr:rowOff>180975</xdr:rowOff>
    </xdr:to>
    <xdr:sp macro="" textlink="">
      <xdr:nvSpPr>
        <xdr:cNvPr id="4" name="AutoShape 8" descr="https://chooser-beta.creativecommons.org/img/cc-nd.de89fdeb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9010650" y="952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</xdr:row>
      <xdr:rowOff>28575</xdr:rowOff>
    </xdr:from>
    <xdr:to>
      <xdr:col>14</xdr:col>
      <xdr:colOff>38940</xdr:colOff>
      <xdr:row>3</xdr:row>
      <xdr:rowOff>94516</xdr:rowOff>
    </xdr:to>
    <xdr:pic>
      <xdr:nvPicPr>
        <xdr:cNvPr id="6" name="Imagen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72400" y="695325"/>
          <a:ext cx="896190" cy="3231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47625</xdr:rowOff>
        </xdr:from>
        <xdr:to>
          <xdr:col>6</xdr:col>
          <xdr:colOff>123825</xdr:colOff>
          <xdr:row>22</xdr:row>
          <xdr:rowOff>104775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13</xdr:col>
      <xdr:colOff>0</xdr:colOff>
      <xdr:row>3</xdr:row>
      <xdr:rowOff>0</xdr:rowOff>
    </xdr:from>
    <xdr:ext cx="190500" cy="190500"/>
    <xdr:sp macro="" textlink="">
      <xdr:nvSpPr>
        <xdr:cNvPr id="7" name="AutoShape 5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6200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200025</xdr:colOff>
      <xdr:row>3</xdr:row>
      <xdr:rowOff>0</xdr:rowOff>
    </xdr:from>
    <xdr:ext cx="190500" cy="190500"/>
    <xdr:sp macro="" textlink="">
      <xdr:nvSpPr>
        <xdr:cNvPr id="8" name="AutoShape 6" descr="https://chooser-beta.creativecommons.org/img/cc-zero.f5450231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96202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</xdr:row>
      <xdr:rowOff>0</xdr:rowOff>
    </xdr:from>
    <xdr:ext cx="190500" cy="190500"/>
    <xdr:sp macro="" textlink="">
      <xdr:nvSpPr>
        <xdr:cNvPr id="9" name="AutoShape 1" descr="https://chooser-beta.creativecommons.org/img/cc-logo.f0ab4ebe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76200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200025</xdr:colOff>
      <xdr:row>3</xdr:row>
      <xdr:rowOff>0</xdr:rowOff>
    </xdr:from>
    <xdr:ext cx="190500" cy="190500"/>
    <xdr:sp macro="" textlink="">
      <xdr:nvSpPr>
        <xdr:cNvPr id="10" name="AutoShape 2" descr="https://chooser-beta.creativecommons.org/img/cc-by.21b728bb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96202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400050</xdr:colOff>
      <xdr:row>3</xdr:row>
      <xdr:rowOff>0</xdr:rowOff>
    </xdr:from>
    <xdr:ext cx="190500" cy="190500"/>
    <xdr:sp macro="" textlink="">
      <xdr:nvSpPr>
        <xdr:cNvPr id="11" name="AutoShape 3" descr="https://chooser-beta.creativecommons.org/img/cc-nc.218f18fc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16205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600075</xdr:colOff>
      <xdr:row>3</xdr:row>
      <xdr:rowOff>0</xdr:rowOff>
    </xdr:from>
    <xdr:ext cx="190500" cy="190500"/>
    <xdr:sp macro="" textlink="">
      <xdr:nvSpPr>
        <xdr:cNvPr id="12" name="AutoShape 4" descr="https://chooser-beta.creativecommons.org/img/cc-nd.de89fdeb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36207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</xdr:row>
      <xdr:rowOff>0</xdr:rowOff>
    </xdr:from>
    <xdr:ext cx="190500" cy="190500"/>
    <xdr:sp macro="" textlink="">
      <xdr:nvSpPr>
        <xdr:cNvPr id="13" name="AutoShape 5" descr="https://chooser-beta.creativecommons.org/img/cc-logo.f0ab4ebe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76200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400050</xdr:colOff>
      <xdr:row>3</xdr:row>
      <xdr:rowOff>0</xdr:rowOff>
    </xdr:from>
    <xdr:ext cx="190500" cy="190500"/>
    <xdr:sp macro="" textlink="">
      <xdr:nvSpPr>
        <xdr:cNvPr id="14" name="AutoShape 7" descr="https://chooser-beta.creativecommons.org/img/cc-nc.218f18fc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16205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600075</xdr:colOff>
      <xdr:row>3</xdr:row>
      <xdr:rowOff>0</xdr:rowOff>
    </xdr:from>
    <xdr:ext cx="190500" cy="190500"/>
    <xdr:sp macro="" textlink="">
      <xdr:nvSpPr>
        <xdr:cNvPr id="15" name="AutoShape 8" descr="https://chooser-beta.creativecommons.org/img/cc-nd.de89fdeb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36207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3</xdr:row>
      <xdr:rowOff>190500</xdr:rowOff>
    </xdr:to>
    <xdr:sp macro="" textlink="">
      <xdr:nvSpPr>
        <xdr:cNvPr id="16" name="AutoShape 1" descr="https://chooser-beta.creativecommons.org/img/cc-logo.f0ab4ebe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76200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200025</xdr:colOff>
      <xdr:row>3</xdr:row>
      <xdr:rowOff>0</xdr:rowOff>
    </xdr:from>
    <xdr:to>
      <xdr:col>13</xdr:col>
      <xdr:colOff>390525</xdr:colOff>
      <xdr:row>3</xdr:row>
      <xdr:rowOff>190500</xdr:rowOff>
    </xdr:to>
    <xdr:sp macro="" textlink="">
      <xdr:nvSpPr>
        <xdr:cNvPr id="17" name="AutoShape 2" descr="https://chooser-beta.creativecommons.org/img/cc-by.21b728bb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96202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400050</xdr:colOff>
      <xdr:row>3</xdr:row>
      <xdr:rowOff>0</xdr:rowOff>
    </xdr:from>
    <xdr:to>
      <xdr:col>13</xdr:col>
      <xdr:colOff>590550</xdr:colOff>
      <xdr:row>3</xdr:row>
      <xdr:rowOff>190500</xdr:rowOff>
    </xdr:to>
    <xdr:sp macro="" textlink="">
      <xdr:nvSpPr>
        <xdr:cNvPr id="18" name="AutoShape 3" descr="https://chooser-beta.creativecommons.org/img/cc-nc.218f18fc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16205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600075</xdr:colOff>
      <xdr:row>3</xdr:row>
      <xdr:rowOff>0</xdr:rowOff>
    </xdr:from>
    <xdr:to>
      <xdr:col>13</xdr:col>
      <xdr:colOff>790575</xdr:colOff>
      <xdr:row>3</xdr:row>
      <xdr:rowOff>190500</xdr:rowOff>
    </xdr:to>
    <xdr:sp macro="" textlink="">
      <xdr:nvSpPr>
        <xdr:cNvPr id="19" name="AutoShape 4" descr="https://chooser-beta.creativecommons.org/img/cc-nd.de89fdeb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36207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4</xdr:row>
      <xdr:rowOff>67236</xdr:rowOff>
    </xdr:from>
    <xdr:to>
      <xdr:col>16</xdr:col>
      <xdr:colOff>381000</xdr:colOff>
      <xdr:row>27</xdr:row>
      <xdr:rowOff>112059</xdr:rowOff>
    </xdr:to>
    <xdr:graphicFrame macro="">
      <xdr:nvGraphicFramePr>
        <xdr:cNvPr id="3217" name="Gráfico 2">
          <a:extLst>
            <a:ext uri="{FF2B5EF4-FFF2-40B4-BE49-F238E27FC236}">
              <a16:creationId xmlns:a16="http://schemas.microsoft.com/office/drawing/2014/main" xmlns="" id="{00000000-0008-0000-0100-00009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3</xdr:row>
      <xdr:rowOff>28575</xdr:rowOff>
    </xdr:from>
    <xdr:to>
      <xdr:col>15</xdr:col>
      <xdr:colOff>400050</xdr:colOff>
      <xdr:row>14</xdr:row>
      <xdr:rowOff>76200</xdr:rowOff>
    </xdr:to>
    <xdr:sp macro="" textlink="">
      <xdr:nvSpPr>
        <xdr:cNvPr id="2" name="Rectángulo: esquinas redondeadas 16">
          <a:extLst>
            <a:ext uri="{FF2B5EF4-FFF2-40B4-BE49-F238E27FC236}">
              <a16:creationId xmlns="" xmlns:a16="http://schemas.microsoft.com/office/drawing/2014/main" id="{A15F9BA2-6221-1BE5-5D98-52DCDFAC7F1A}"/>
            </a:ext>
          </a:extLst>
        </xdr:cNvPr>
        <xdr:cNvSpPr/>
      </xdr:nvSpPr>
      <xdr:spPr>
        <a:xfrm>
          <a:off x="8210550" y="828675"/>
          <a:ext cx="2419350" cy="1876425"/>
        </a:xfrm>
        <a:prstGeom prst="roundRect">
          <a:avLst>
            <a:gd name="adj" fmla="val 12098"/>
          </a:avLst>
        </a:prstGeom>
        <a:noFill/>
        <a:ln w="12700">
          <a:solidFill>
            <a:schemeClr val="tx2">
              <a:lumMod val="50000"/>
              <a:alpha val="42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10</xdr:col>
      <xdr:colOff>123825</xdr:colOff>
      <xdr:row>46</xdr:row>
      <xdr:rowOff>9525</xdr:rowOff>
    </xdr:from>
    <xdr:to>
      <xdr:col>11</xdr:col>
      <xdr:colOff>393560</xdr:colOff>
      <xdr:row>47</xdr:row>
      <xdr:rowOff>117426</xdr:rowOff>
    </xdr:to>
    <xdr:pic>
      <xdr:nvPicPr>
        <xdr:cNvPr id="3" name="3 Imagen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7496175"/>
          <a:ext cx="812660" cy="269826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44</xdr:row>
      <xdr:rowOff>19050</xdr:rowOff>
    </xdr:from>
    <xdr:to>
      <xdr:col>2</xdr:col>
      <xdr:colOff>373248</xdr:colOff>
      <xdr:row>46</xdr:row>
      <xdr:rowOff>16422</xdr:rowOff>
    </xdr:to>
    <xdr:pic>
      <xdr:nvPicPr>
        <xdr:cNvPr id="4" name="Imagen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23D463E4-F5AA-89DE-8063-58D171FC5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1" y="7029450"/>
          <a:ext cx="325622" cy="321222"/>
        </a:xfrm>
        <a:prstGeom prst="rect">
          <a:avLst/>
        </a:prstGeom>
      </xdr:spPr>
    </xdr:pic>
    <xdr:clientData/>
  </xdr:twoCellAnchor>
  <xdr:twoCellAnchor editAs="oneCell">
    <xdr:from>
      <xdr:col>12</xdr:col>
      <xdr:colOff>495300</xdr:colOff>
      <xdr:row>3</xdr:row>
      <xdr:rowOff>133351</xdr:rowOff>
    </xdr:from>
    <xdr:to>
      <xdr:col>13</xdr:col>
      <xdr:colOff>28575</xdr:colOff>
      <xdr:row>5</xdr:row>
      <xdr:rowOff>133351</xdr:rowOff>
    </xdr:to>
    <xdr:pic>
      <xdr:nvPicPr>
        <xdr:cNvPr id="5" name="Imagen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0BF0FDB-6F9F-A282-C4FC-F45B035AA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0" y="933451"/>
          <a:ext cx="333375" cy="333375"/>
        </a:xfrm>
        <a:prstGeom prst="rect">
          <a:avLst/>
        </a:prstGeom>
      </xdr:spPr>
    </xdr:pic>
    <xdr:clientData/>
  </xdr:twoCellAnchor>
  <xdr:twoCellAnchor editAs="oneCell">
    <xdr:from>
      <xdr:col>14</xdr:col>
      <xdr:colOff>257175</xdr:colOff>
      <xdr:row>5</xdr:row>
      <xdr:rowOff>95250</xdr:rowOff>
    </xdr:from>
    <xdr:to>
      <xdr:col>14</xdr:col>
      <xdr:colOff>666750</xdr:colOff>
      <xdr:row>8</xdr:row>
      <xdr:rowOff>0</xdr:rowOff>
    </xdr:to>
    <xdr:pic>
      <xdr:nvPicPr>
        <xdr:cNvPr id="6" name="Imagen 5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7E6715A-5E5F-9F71-480E-1A7F0E846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07632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13</xdr:col>
      <xdr:colOff>166188</xdr:colOff>
      <xdr:row>10</xdr:row>
      <xdr:rowOff>19050</xdr:rowOff>
    </xdr:from>
    <xdr:to>
      <xdr:col>13</xdr:col>
      <xdr:colOff>628650</xdr:colOff>
      <xdr:row>12</xdr:row>
      <xdr:rowOff>85724</xdr:rowOff>
    </xdr:to>
    <xdr:pic>
      <xdr:nvPicPr>
        <xdr:cNvPr id="7" name="Imagen 6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9294B58-8F9C-0621-9CDA-6124362B6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3938" y="1990725"/>
          <a:ext cx="462462" cy="390524"/>
        </a:xfrm>
        <a:prstGeom prst="rect">
          <a:avLst/>
        </a:prstGeom>
      </xdr:spPr>
    </xdr:pic>
    <xdr:clientData/>
  </xdr:twoCellAnchor>
  <xdr:twoCellAnchor editAs="oneCell">
    <xdr:from>
      <xdr:col>13</xdr:col>
      <xdr:colOff>219075</xdr:colOff>
      <xdr:row>5</xdr:row>
      <xdr:rowOff>101963</xdr:rowOff>
    </xdr:from>
    <xdr:to>
      <xdr:col>13</xdr:col>
      <xdr:colOff>590550</xdr:colOff>
      <xdr:row>7</xdr:row>
      <xdr:rowOff>123825</xdr:rowOff>
    </xdr:to>
    <xdr:pic>
      <xdr:nvPicPr>
        <xdr:cNvPr id="8" name="Imagen 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57863B2D-F6BE-C84F-E447-78B09A7DA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235438"/>
          <a:ext cx="371475" cy="364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23</xdr:row>
      <xdr:rowOff>0</xdr:rowOff>
    </xdr:from>
    <xdr:to>
      <xdr:col>1</xdr:col>
      <xdr:colOff>409575</xdr:colOff>
      <xdr:row>23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43025" y="3848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552450</xdr:colOff>
      <xdr:row>23</xdr:row>
      <xdr:rowOff>0</xdr:rowOff>
    </xdr:from>
    <xdr:to>
      <xdr:col>1</xdr:col>
      <xdr:colOff>409575</xdr:colOff>
      <xdr:row>23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4450" y="3848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552450</xdr:colOff>
      <xdr:row>23</xdr:row>
      <xdr:rowOff>0</xdr:rowOff>
    </xdr:from>
    <xdr:to>
      <xdr:col>1</xdr:col>
      <xdr:colOff>409575</xdr:colOff>
      <xdr:row>23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314450" y="3848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142875</xdr:rowOff>
    </xdr:from>
    <xdr:ext cx="895238" cy="323810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33375"/>
          <a:ext cx="895238" cy="32381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</xdr:row>
      <xdr:rowOff>0</xdr:rowOff>
    </xdr:from>
    <xdr:ext cx="190500" cy="190500"/>
    <xdr:sp macro="" textlink="">
      <xdr:nvSpPr>
        <xdr:cNvPr id="3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76200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200025</xdr:colOff>
      <xdr:row>4</xdr:row>
      <xdr:rowOff>0</xdr:rowOff>
    </xdr:from>
    <xdr:ext cx="190500" cy="190500"/>
    <xdr:sp macro="" textlink="">
      <xdr:nvSpPr>
        <xdr:cNvPr id="4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96202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90500" cy="190500"/>
    <xdr:sp macro="" textlink="">
      <xdr:nvSpPr>
        <xdr:cNvPr id="5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6200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200025</xdr:colOff>
      <xdr:row>4</xdr:row>
      <xdr:rowOff>0</xdr:rowOff>
    </xdr:from>
    <xdr:ext cx="190500" cy="190500"/>
    <xdr:sp macro="" textlink="">
      <xdr:nvSpPr>
        <xdr:cNvPr id="6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96202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400050</xdr:colOff>
      <xdr:row>4</xdr:row>
      <xdr:rowOff>0</xdr:rowOff>
    </xdr:from>
    <xdr:ext cx="190500" cy="190500"/>
    <xdr:sp macro="" textlink="">
      <xdr:nvSpPr>
        <xdr:cNvPr id="7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16205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600075</xdr:colOff>
      <xdr:row>4</xdr:row>
      <xdr:rowOff>0</xdr:rowOff>
    </xdr:from>
    <xdr:ext cx="190500" cy="190500"/>
    <xdr:sp macro="" textlink="">
      <xdr:nvSpPr>
        <xdr:cNvPr id="8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36207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90500" cy="190500"/>
    <xdr:sp macro="" textlink="">
      <xdr:nvSpPr>
        <xdr:cNvPr id="9" name="AutoShape 5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6200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400050</xdr:colOff>
      <xdr:row>4</xdr:row>
      <xdr:rowOff>0</xdr:rowOff>
    </xdr:from>
    <xdr:ext cx="190500" cy="190500"/>
    <xdr:sp macro="" textlink="">
      <xdr:nvSpPr>
        <xdr:cNvPr id="10" name="AutoShape 7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16205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600075</xdr:colOff>
      <xdr:row>4</xdr:row>
      <xdr:rowOff>0</xdr:rowOff>
    </xdr:from>
    <xdr:ext cx="190500" cy="190500"/>
    <xdr:sp macro="" textlink="">
      <xdr:nvSpPr>
        <xdr:cNvPr id="11" name="AutoShape 8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36207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190500</xdr:rowOff>
    </xdr:to>
    <xdr:sp macro="" textlink="">
      <xdr:nvSpPr>
        <xdr:cNvPr id="8193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6200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200025</xdr:colOff>
      <xdr:row>4</xdr:row>
      <xdr:rowOff>0</xdr:rowOff>
    </xdr:from>
    <xdr:to>
      <xdr:col>1</xdr:col>
      <xdr:colOff>390525</xdr:colOff>
      <xdr:row>4</xdr:row>
      <xdr:rowOff>190500</xdr:rowOff>
    </xdr:to>
    <xdr:sp macro="" textlink="">
      <xdr:nvSpPr>
        <xdr:cNvPr id="8194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96202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590550</xdr:colOff>
      <xdr:row>4</xdr:row>
      <xdr:rowOff>190500</xdr:rowOff>
    </xdr:to>
    <xdr:sp macro="" textlink="">
      <xdr:nvSpPr>
        <xdr:cNvPr id="8195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162050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600075</xdr:colOff>
      <xdr:row>4</xdr:row>
      <xdr:rowOff>0</xdr:rowOff>
    </xdr:from>
    <xdr:to>
      <xdr:col>2</xdr:col>
      <xdr:colOff>28575</xdr:colOff>
      <xdr:row>4</xdr:row>
      <xdr:rowOff>190500</xdr:rowOff>
    </xdr:to>
    <xdr:sp macro="" textlink="">
      <xdr:nvSpPr>
        <xdr:cNvPr id="8196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362075" y="762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6</xdr:row>
      <xdr:rowOff>161925</xdr:rowOff>
    </xdr:from>
    <xdr:to>
      <xdr:col>7</xdr:col>
      <xdr:colOff>752475</xdr:colOff>
      <xdr:row>14</xdr:row>
      <xdr:rowOff>38100</xdr:rowOff>
    </xdr:to>
    <xdr:sp macro="" textlink="">
      <xdr:nvSpPr>
        <xdr:cNvPr id="2" name="Line 5">
          <a:extLst>
            <a:ext uri="{FF2B5EF4-FFF2-40B4-BE49-F238E27FC236}">
              <a16:creationId xmlns="" xmlns:a16="http://schemas.microsoft.com/office/drawing/2014/main" id="{00000000-0008-0000-0200-000009040000}"/>
            </a:ext>
          </a:extLst>
        </xdr:cNvPr>
        <xdr:cNvSpPr>
          <a:spLocks noChangeShapeType="1"/>
        </xdr:cNvSpPr>
      </xdr:nvSpPr>
      <xdr:spPr bwMode="auto">
        <a:xfrm>
          <a:off x="5057775" y="1295400"/>
          <a:ext cx="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152400</xdr:rowOff>
        </xdr:from>
        <xdr:to>
          <xdr:col>2</xdr:col>
          <xdr:colOff>142875</xdr:colOff>
          <xdr:row>68</xdr:row>
          <xdr:rowOff>85725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91</xdr:row>
          <xdr:rowOff>114300</xdr:rowOff>
        </xdr:from>
        <xdr:to>
          <xdr:col>2</xdr:col>
          <xdr:colOff>142875</xdr:colOff>
          <xdr:row>93</xdr:row>
          <xdr:rowOff>47625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6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96</xdr:row>
          <xdr:rowOff>0</xdr:rowOff>
        </xdr:from>
        <xdr:to>
          <xdr:col>2</xdr:col>
          <xdr:colOff>142875</xdr:colOff>
          <xdr:row>97</xdr:row>
          <xdr:rowOff>95250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6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P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dro\Documents\Laboratorio\Taller%20(NAS)\T-Programaci&#243;n\Excel\Calculo%20Estad&#237;stico\Calculos%20en%20Excel%20_M\+%20(SIM)%20Medidas%20repetidas%20(R7G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gl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Simulación"/>
      <sheetName val="Interpolación"/>
      <sheetName val="Tabla"/>
      <sheetName val="CC"/>
      <sheetName val="!I"/>
    </sheetNames>
    <sheetDataSet>
      <sheetData sheetId="0"/>
      <sheetData sheetId="1">
        <row r="4">
          <cell r="F4">
            <v>1</v>
          </cell>
        </row>
      </sheetData>
      <sheetData sheetId="2">
        <row r="5">
          <cell r="E5">
            <v>1</v>
          </cell>
        </row>
        <row r="15">
          <cell r="F15">
            <v>0</v>
          </cell>
          <cell r="G15">
            <v>0</v>
          </cell>
          <cell r="N15">
            <v>-4.8215783350918487E-2</v>
          </cell>
          <cell r="P15">
            <v>0</v>
          </cell>
          <cell r="U15">
            <v>7</v>
          </cell>
        </row>
        <row r="16">
          <cell r="F16">
            <v>9.99</v>
          </cell>
          <cell r="G16">
            <v>7.5</v>
          </cell>
          <cell r="N16">
            <v>0.86313470162086403</v>
          </cell>
          <cell r="P16">
            <v>0.98490814922329728</v>
          </cell>
          <cell r="U16">
            <v>8</v>
          </cell>
        </row>
        <row r="17">
          <cell r="F17">
            <v>19.98</v>
          </cell>
          <cell r="G17">
            <v>10</v>
          </cell>
          <cell r="N17">
            <v>0.21708065080779113</v>
          </cell>
          <cell r="P17">
            <v>-2.2633730989358808E-2</v>
          </cell>
          <cell r="U17">
            <v>3</v>
          </cell>
        </row>
        <row r="18">
          <cell r="F18">
            <v>30</v>
          </cell>
          <cell r="G18">
            <v>7</v>
          </cell>
          <cell r="N18">
            <v>-3.1999569077736587E-2</v>
          </cell>
          <cell r="P18">
            <v>-8.0625429121333704E-5</v>
          </cell>
        </row>
        <row r="19">
          <cell r="F19">
            <v>12</v>
          </cell>
        </row>
        <row r="32">
          <cell r="F32">
            <v>0</v>
          </cell>
          <cell r="G32">
            <v>0</v>
          </cell>
          <cell r="N32">
            <v>0.63555555555555554</v>
          </cell>
          <cell r="P32">
            <v>0</v>
          </cell>
        </row>
        <row r="33">
          <cell r="F33">
            <v>15</v>
          </cell>
          <cell r="G33">
            <v>30</v>
          </cell>
          <cell r="N33">
            <v>0.4622222222222222</v>
          </cell>
          <cell r="P33">
            <v>3.7666666666666666</v>
          </cell>
        </row>
        <row r="34">
          <cell r="F34">
            <v>30</v>
          </cell>
          <cell r="G34">
            <v>7</v>
          </cell>
          <cell r="N34">
            <v>-9.7777777777777783E-2</v>
          </cell>
          <cell r="P34">
            <v>-0.11777777777777777</v>
          </cell>
        </row>
        <row r="35">
          <cell r="F35">
            <v>4</v>
          </cell>
        </row>
        <row r="49">
          <cell r="M49">
            <v>0</v>
          </cell>
        </row>
        <row r="50">
          <cell r="M50">
            <v>0.23333333333333334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N=1000x7 de Mathematica"/>
      <sheetName val="Base de datos"/>
      <sheetName val="Modelo"/>
      <sheetName val="Interpolación"/>
      <sheetName val="SPSS outpu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LS"/>
      <sheetName val="Diagrama de dispersión"/>
      <sheetName val="CC"/>
      <sheetName val="!"/>
      <sheetName val="Repor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9">
          <cell r="N69" t="str">
            <v>Martín Andrés, A. y Luna del Castillo, J.D (2004)</v>
          </cell>
        </row>
        <row r="70">
          <cell r="N70" t="str">
            <v>Bioestadística para las Ciencias de la Salud</v>
          </cell>
        </row>
        <row r="71">
          <cell r="N71" t="str">
            <v>Ed. Norma (Madrid)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s://www.ugr.es/~bioest/software/delta/app/delta.php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s://www.ugr.es/~pfemia/apps/T2x2" TargetMode="External"/><Relationship Id="rId1" Type="http://schemas.openxmlformats.org/officeDocument/2006/relationships/hyperlink" Target="mailto:pfemia@ugr.e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0.emf"/><Relationship Id="rId4" Type="http://schemas.openxmlformats.org/officeDocument/2006/relationships/oleObject" Target="../embeddings/oleObject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ugr.es/~bioest" TargetMode="External"/><Relationship Id="rId1" Type="http://schemas.openxmlformats.org/officeDocument/2006/relationships/hyperlink" Target="http://www.ugr.es/~pfem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gr.es/~bioest/software/delt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gr.es/~bioest/Resu_Tablas_11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ugr.es/local/bioest" TargetMode="External"/><Relationship Id="rId1" Type="http://schemas.openxmlformats.org/officeDocument/2006/relationships/hyperlink" Target="http://www.ugr.es/local/pfemi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S66"/>
  <sheetViews>
    <sheetView showGridLines="0" tabSelected="1" zoomScale="85" zoomScaleNormal="85" workbookViewId="0">
      <pane ySplit="6" topLeftCell="A7" activePane="bottomLeft" state="frozen"/>
      <selection pane="bottomLeft" activeCell="C65" sqref="C65:F65"/>
    </sheetView>
  </sheetViews>
  <sheetFormatPr baseColWidth="10" defaultRowHeight="12.75" x14ac:dyDescent="0.2"/>
  <cols>
    <col min="1" max="1" width="1.5703125" style="790" customWidth="1"/>
    <col min="2" max="2" width="12.28515625" style="791" customWidth="1"/>
    <col min="3" max="3" width="3.28515625" style="791" customWidth="1"/>
    <col min="4" max="4" width="16" style="791" customWidth="1"/>
    <col min="5" max="5" width="11.42578125" style="790"/>
    <col min="6" max="6" width="5.5703125" style="791" customWidth="1"/>
    <col min="7" max="7" width="9" style="791" bestFit="1" customWidth="1"/>
    <col min="8" max="12" width="11.42578125" style="791"/>
    <col min="13" max="13" width="0.85546875" style="791" customWidth="1"/>
    <col min="14" max="14" width="12.85546875" style="791" customWidth="1"/>
    <col min="15" max="16384" width="11.42578125" style="791"/>
  </cols>
  <sheetData>
    <row r="1" spans="1:19" s="808" customFormat="1" ht="23.25" customHeight="1" x14ac:dyDescent="0.2">
      <c r="A1" s="802"/>
      <c r="B1" s="910" t="s">
        <v>424</v>
      </c>
      <c r="C1" s="910"/>
      <c r="D1" s="899"/>
      <c r="E1" s="803" t="s">
        <v>351</v>
      </c>
      <c r="F1" s="804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6"/>
      <c r="S1" s="807"/>
    </row>
    <row r="2" spans="1:19" s="814" customFormat="1" ht="18.75" customHeight="1" x14ac:dyDescent="0.2">
      <c r="A2" s="809"/>
      <c r="B2" s="810" t="s">
        <v>352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2"/>
      <c r="S2" s="813"/>
    </row>
    <row r="3" spans="1:19" s="822" customFormat="1" ht="20.25" customHeight="1" x14ac:dyDescent="0.2">
      <c r="A3" s="815"/>
      <c r="B3" s="816" t="s">
        <v>66</v>
      </c>
      <c r="C3" s="816"/>
      <c r="D3" s="816"/>
      <c r="E3" s="817" t="s">
        <v>59</v>
      </c>
      <c r="F3" s="816"/>
      <c r="G3" s="1266" t="s">
        <v>347</v>
      </c>
      <c r="H3" s="1267"/>
      <c r="I3" s="921"/>
      <c r="J3" s="1268" t="s">
        <v>348</v>
      </c>
      <c r="K3" s="1268"/>
      <c r="L3" s="1269"/>
      <c r="M3" s="818"/>
      <c r="N3" s="819"/>
      <c r="O3" s="819"/>
      <c r="P3" s="819"/>
      <c r="Q3" s="819"/>
      <c r="R3" s="820"/>
      <c r="S3" s="821"/>
    </row>
    <row r="4" spans="1:19" s="826" customFormat="1" ht="21" customHeight="1" x14ac:dyDescent="0.25">
      <c r="A4" s="823"/>
      <c r="B4" s="824" t="s">
        <v>349</v>
      </c>
      <c r="C4" s="824"/>
      <c r="D4" s="824"/>
      <c r="E4" s="824"/>
      <c r="F4" s="824"/>
      <c r="G4" s="1271" t="s">
        <v>389</v>
      </c>
      <c r="H4" s="1272"/>
      <c r="I4" s="1272"/>
      <c r="J4" s="1272"/>
      <c r="K4" s="1272"/>
      <c r="L4" s="1273"/>
      <c r="M4" s="825"/>
      <c r="N4" s="1274" t="s">
        <v>573</v>
      </c>
      <c r="O4" s="1274"/>
      <c r="P4" s="1274"/>
      <c r="Q4" s="1274"/>
      <c r="R4" s="1275"/>
      <c r="S4" s="841"/>
    </row>
    <row r="5" spans="1:19" s="826" customFormat="1" ht="15" customHeight="1" x14ac:dyDescent="0.25">
      <c r="A5" s="823"/>
      <c r="B5" s="824" t="s">
        <v>350</v>
      </c>
      <c r="C5" s="824"/>
      <c r="D5" s="824"/>
      <c r="E5" s="824"/>
      <c r="F5" s="824"/>
      <c r="G5" s="1276" t="str">
        <f>C65</f>
        <v>https://www.ugr.es/~pfemia/apps/T2x2</v>
      </c>
      <c r="H5" s="1277"/>
      <c r="I5" s="1277"/>
      <c r="J5" s="1277"/>
      <c r="K5" s="1277"/>
      <c r="L5" s="1278"/>
      <c r="M5" s="827"/>
      <c r="N5" s="1274"/>
      <c r="O5" s="1274"/>
      <c r="P5" s="1274"/>
      <c r="Q5" s="1274"/>
      <c r="R5" s="1275"/>
      <c r="S5" s="841"/>
    </row>
    <row r="6" spans="1:19" s="835" customFormat="1" ht="15" x14ac:dyDescent="0.25">
      <c r="A6" s="828"/>
      <c r="B6" s="829" t="s">
        <v>67</v>
      </c>
      <c r="C6" s="829"/>
      <c r="D6" s="829"/>
      <c r="E6" s="829"/>
      <c r="F6" s="829"/>
      <c r="G6" s="830"/>
      <c r="H6" s="829"/>
      <c r="I6" s="829"/>
      <c r="J6" s="829"/>
      <c r="K6" s="829"/>
      <c r="L6" s="829"/>
      <c r="M6" s="831"/>
      <c r="N6" s="832"/>
      <c r="O6" s="832"/>
      <c r="P6" s="832"/>
      <c r="Q6" s="832"/>
      <c r="R6" s="833"/>
      <c r="S6" s="834"/>
    </row>
    <row r="8" spans="1:19" ht="15" x14ac:dyDescent="0.25">
      <c r="A8" s="836" t="s">
        <v>353</v>
      </c>
      <c r="B8" s="826"/>
      <c r="C8" s="826"/>
      <c r="D8" s="826"/>
      <c r="E8" s="826"/>
    </row>
    <row r="9" spans="1:19" ht="15" x14ac:dyDescent="0.25">
      <c r="A9" s="837" t="s">
        <v>354</v>
      </c>
      <c r="B9" s="826" t="s">
        <v>367</v>
      </c>
      <c r="C9" s="826"/>
      <c r="D9" s="826"/>
      <c r="E9" s="826"/>
    </row>
    <row r="10" spans="1:19" ht="15" x14ac:dyDescent="0.25">
      <c r="A10" s="837"/>
      <c r="B10" s="826" t="s">
        <v>368</v>
      </c>
      <c r="C10" s="826"/>
      <c r="D10" s="826"/>
      <c r="E10" s="826"/>
    </row>
    <row r="11" spans="1:19" ht="15" x14ac:dyDescent="0.25">
      <c r="A11" s="837" t="s">
        <v>354</v>
      </c>
      <c r="B11" s="826" t="s">
        <v>369</v>
      </c>
      <c r="C11" s="826"/>
      <c r="D11" s="826"/>
      <c r="E11" s="826"/>
    </row>
    <row r="12" spans="1:19" ht="15" x14ac:dyDescent="0.25">
      <c r="A12" s="837" t="s">
        <v>354</v>
      </c>
      <c r="B12" s="826" t="s">
        <v>419</v>
      </c>
      <c r="C12" s="826"/>
      <c r="D12" s="826"/>
      <c r="E12" s="826"/>
    </row>
    <row r="13" spans="1:19" ht="15" x14ac:dyDescent="0.25">
      <c r="A13" s="837"/>
      <c r="B13" s="826"/>
      <c r="C13" s="826"/>
      <c r="D13" s="826"/>
      <c r="E13" s="826"/>
    </row>
    <row r="14" spans="1:19" ht="15" x14ac:dyDescent="0.25">
      <c r="A14" s="837" t="s">
        <v>354</v>
      </c>
      <c r="B14" s="838" t="s">
        <v>355</v>
      </c>
      <c r="C14" s="826"/>
      <c r="D14" s="826"/>
      <c r="E14" s="826"/>
    </row>
    <row r="15" spans="1:19" ht="15" x14ac:dyDescent="0.25">
      <c r="A15" s="837"/>
      <c r="B15" s="842" t="s">
        <v>460</v>
      </c>
      <c r="C15" s="826" t="s">
        <v>463</v>
      </c>
      <c r="D15" s="826"/>
      <c r="E15" s="826"/>
    </row>
    <row r="16" spans="1:19" ht="15" x14ac:dyDescent="0.25">
      <c r="A16" s="837"/>
      <c r="B16" s="842"/>
      <c r="C16" s="826" t="s">
        <v>462</v>
      </c>
      <c r="D16" s="826"/>
      <c r="E16" s="826"/>
    </row>
    <row r="17" spans="1:5" ht="15" x14ac:dyDescent="0.25">
      <c r="A17" s="837"/>
      <c r="B17" s="826"/>
      <c r="C17" s="826" t="s">
        <v>461</v>
      </c>
      <c r="D17" s="826"/>
      <c r="E17" s="826"/>
    </row>
    <row r="18" spans="1:5" ht="15" x14ac:dyDescent="0.25">
      <c r="A18" s="837"/>
      <c r="B18" s="826"/>
      <c r="C18" s="826"/>
      <c r="D18" s="826"/>
      <c r="E18" s="826"/>
    </row>
    <row r="19" spans="1:5" ht="15" x14ac:dyDescent="0.25">
      <c r="A19" s="837"/>
      <c r="B19" s="826"/>
      <c r="C19" s="826"/>
      <c r="D19" s="826"/>
      <c r="E19" s="826"/>
    </row>
    <row r="20" spans="1:5" ht="15" x14ac:dyDescent="0.25">
      <c r="A20" s="837"/>
      <c r="B20" s="826"/>
      <c r="C20" s="826"/>
      <c r="D20" s="826"/>
      <c r="E20" s="826"/>
    </row>
    <row r="21" spans="1:5" ht="15" x14ac:dyDescent="0.25">
      <c r="A21" s="837"/>
      <c r="B21" s="826"/>
      <c r="C21" s="826"/>
      <c r="D21" s="826"/>
      <c r="E21" s="826"/>
    </row>
    <row r="22" spans="1:5" ht="15" x14ac:dyDescent="0.25">
      <c r="A22" s="839"/>
      <c r="B22" s="840"/>
      <c r="C22" s="826"/>
      <c r="D22" s="826"/>
      <c r="E22" s="840"/>
    </row>
    <row r="23" spans="1:5" ht="15" x14ac:dyDescent="0.25">
      <c r="A23" s="839"/>
      <c r="B23" s="840"/>
      <c r="C23" s="840"/>
      <c r="D23" s="840"/>
      <c r="E23" s="840"/>
    </row>
    <row r="24" spans="1:5" ht="15" x14ac:dyDescent="0.25">
      <c r="A24" s="839"/>
      <c r="B24" s="1258" t="s">
        <v>60</v>
      </c>
      <c r="C24" s="840" t="s">
        <v>375</v>
      </c>
      <c r="D24" s="840"/>
      <c r="E24" s="840"/>
    </row>
    <row r="25" spans="1:5" ht="15" x14ac:dyDescent="0.25">
      <c r="A25" s="839"/>
      <c r="B25" s="840"/>
      <c r="C25" s="840" t="s">
        <v>376</v>
      </c>
      <c r="D25" s="840"/>
      <c r="E25" s="840"/>
    </row>
    <row r="26" spans="1:5" ht="15" x14ac:dyDescent="0.25">
      <c r="A26" s="839"/>
      <c r="B26" s="840"/>
      <c r="C26" s="887" t="s">
        <v>377</v>
      </c>
      <c r="D26" s="887"/>
      <c r="E26" s="840"/>
    </row>
    <row r="27" spans="1:5" ht="15" x14ac:dyDescent="0.25">
      <c r="A27" s="839"/>
      <c r="B27" s="1258" t="s">
        <v>60</v>
      </c>
      <c r="C27" s="840" t="s">
        <v>379</v>
      </c>
      <c r="D27" s="840"/>
      <c r="E27" s="840"/>
    </row>
    <row r="28" spans="1:5" ht="15" x14ac:dyDescent="0.25">
      <c r="A28" s="839"/>
      <c r="B28" s="840"/>
      <c r="C28" s="840" t="s">
        <v>378</v>
      </c>
      <c r="D28" s="840"/>
      <c r="E28" s="840"/>
    </row>
    <row r="29" spans="1:5" ht="15" x14ac:dyDescent="0.25">
      <c r="A29" s="839"/>
      <c r="B29" s="840"/>
      <c r="C29" s="840"/>
      <c r="D29" s="840"/>
      <c r="E29" s="840"/>
    </row>
    <row r="30" spans="1:5" ht="15" x14ac:dyDescent="0.25">
      <c r="A30" s="839"/>
      <c r="B30" s="888" t="s">
        <v>380</v>
      </c>
      <c r="C30" s="840" t="s">
        <v>382</v>
      </c>
      <c r="D30" s="840"/>
      <c r="E30" s="791"/>
    </row>
    <row r="31" spans="1:5" ht="15" x14ac:dyDescent="0.25">
      <c r="A31" s="839"/>
      <c r="B31" s="840"/>
      <c r="C31" s="841" t="s">
        <v>381</v>
      </c>
      <c r="D31" s="841"/>
      <c r="E31" s="840"/>
    </row>
    <row r="32" spans="1:5" ht="15" x14ac:dyDescent="0.25">
      <c r="A32" s="839"/>
      <c r="B32" s="840"/>
      <c r="C32" s="841" t="s">
        <v>383</v>
      </c>
      <c r="D32" s="841"/>
      <c r="E32" s="840"/>
    </row>
    <row r="33" spans="1:12" ht="15" x14ac:dyDescent="0.25">
      <c r="A33" s="839"/>
      <c r="B33" s="840"/>
      <c r="C33" s="841" t="s">
        <v>384</v>
      </c>
      <c r="D33" s="841"/>
      <c r="E33" s="840"/>
    </row>
    <row r="34" spans="1:12" ht="15" x14ac:dyDescent="0.25">
      <c r="A34" s="839"/>
      <c r="B34" s="840"/>
      <c r="C34" s="841" t="s">
        <v>385</v>
      </c>
      <c r="D34" s="841"/>
      <c r="E34" s="840"/>
    </row>
    <row r="35" spans="1:12" ht="15" x14ac:dyDescent="0.25">
      <c r="A35" s="839"/>
      <c r="B35" s="840"/>
      <c r="C35" s="841" t="s">
        <v>386</v>
      </c>
      <c r="D35" s="841"/>
      <c r="E35" s="840"/>
    </row>
    <row r="36" spans="1:12" ht="15" x14ac:dyDescent="0.25">
      <c r="A36" s="839"/>
      <c r="B36" s="840"/>
      <c r="C36" s="841"/>
      <c r="D36" s="841"/>
      <c r="E36" s="840"/>
    </row>
    <row r="37" spans="1:12" ht="15" x14ac:dyDescent="0.25">
      <c r="A37" s="839"/>
      <c r="B37" s="1270" t="s">
        <v>464</v>
      </c>
      <c r="C37" s="1270"/>
      <c r="D37" s="840" t="s">
        <v>465</v>
      </c>
      <c r="E37" s="840"/>
    </row>
    <row r="38" spans="1:12" ht="15" x14ac:dyDescent="0.25">
      <c r="A38" s="839"/>
      <c r="B38" s="840"/>
      <c r="C38" s="840"/>
      <c r="D38" s="840"/>
      <c r="E38" s="840"/>
    </row>
    <row r="39" spans="1:12" ht="15" x14ac:dyDescent="0.25">
      <c r="A39" s="839"/>
      <c r="B39" s="1270" t="s">
        <v>568</v>
      </c>
      <c r="C39" s="1270"/>
      <c r="D39" s="840" t="s">
        <v>569</v>
      </c>
      <c r="E39" s="840"/>
    </row>
    <row r="40" spans="1:12" ht="15" x14ac:dyDescent="0.25">
      <c r="A40" s="839"/>
      <c r="B40" s="1258" t="s">
        <v>60</v>
      </c>
      <c r="C40" s="840" t="s">
        <v>570</v>
      </c>
      <c r="D40" s="840"/>
      <c r="E40" s="840"/>
    </row>
    <row r="41" spans="1:12" ht="15" x14ac:dyDescent="0.25">
      <c r="A41" s="839"/>
      <c r="B41" s="922"/>
      <c r="C41" s="840" t="s">
        <v>571</v>
      </c>
      <c r="D41" s="840"/>
      <c r="E41" s="840"/>
    </row>
    <row r="42" spans="1:12" ht="15" x14ac:dyDescent="0.25">
      <c r="A42" s="839"/>
      <c r="B42" s="840"/>
      <c r="C42" s="840" t="s">
        <v>574</v>
      </c>
      <c r="D42" s="840"/>
      <c r="E42" s="840"/>
      <c r="J42" s="1279" t="s">
        <v>572</v>
      </c>
      <c r="K42" s="1279"/>
      <c r="L42" s="1279"/>
    </row>
    <row r="43" spans="1:12" ht="15" x14ac:dyDescent="0.25">
      <c r="A43" s="839"/>
      <c r="B43" s="840"/>
      <c r="C43" s="841"/>
      <c r="D43" s="841"/>
      <c r="E43" s="840"/>
    </row>
    <row r="44" spans="1:12" ht="15" x14ac:dyDescent="0.25">
      <c r="A44" s="839"/>
      <c r="B44" s="1270" t="s">
        <v>390</v>
      </c>
      <c r="C44" s="1270"/>
      <c r="D44" s="900" t="s">
        <v>391</v>
      </c>
      <c r="E44" s="840"/>
    </row>
    <row r="45" spans="1:12" ht="15" x14ac:dyDescent="0.25">
      <c r="A45" s="839"/>
      <c r="B45" s="840"/>
      <c r="C45" s="841" t="s">
        <v>394</v>
      </c>
      <c r="D45" s="841"/>
      <c r="E45" s="840"/>
    </row>
    <row r="46" spans="1:12" ht="15" x14ac:dyDescent="0.25">
      <c r="A46" s="839"/>
      <c r="B46" s="840"/>
      <c r="C46" s="841" t="s">
        <v>395</v>
      </c>
      <c r="D46" s="841"/>
      <c r="E46" s="840"/>
    </row>
    <row r="47" spans="1:12" ht="15" x14ac:dyDescent="0.25">
      <c r="A47" s="839"/>
      <c r="B47" s="840"/>
      <c r="C47" s="841"/>
      <c r="D47" s="841"/>
      <c r="E47" s="840"/>
    </row>
    <row r="48" spans="1:12" ht="15" x14ac:dyDescent="0.25">
      <c r="A48" s="839"/>
      <c r="B48" s="842" t="s">
        <v>423</v>
      </c>
      <c r="C48" s="826" t="s">
        <v>356</v>
      </c>
      <c r="D48" s="826"/>
      <c r="E48" s="840"/>
    </row>
    <row r="49" spans="1:5" ht="15" x14ac:dyDescent="0.25">
      <c r="A49" s="839"/>
      <c r="B49" s="840"/>
      <c r="C49" s="841"/>
      <c r="D49" s="841"/>
      <c r="E49" s="840"/>
    </row>
    <row r="50" spans="1:5" ht="15" x14ac:dyDescent="0.25">
      <c r="A50" s="843" t="s">
        <v>354</v>
      </c>
      <c r="B50" s="826" t="s">
        <v>357</v>
      </c>
      <c r="C50" s="826"/>
      <c r="D50" s="826"/>
      <c r="E50" s="826"/>
    </row>
    <row r="51" spans="1:5" ht="15" x14ac:dyDescent="0.25">
      <c r="A51" s="843"/>
      <c r="B51" s="826" t="s">
        <v>358</v>
      </c>
      <c r="C51" s="826"/>
      <c r="D51" s="826"/>
      <c r="E51" s="826"/>
    </row>
    <row r="52" spans="1:5" ht="15" x14ac:dyDescent="0.25">
      <c r="A52" s="843" t="s">
        <v>354</v>
      </c>
      <c r="B52" s="826" t="s">
        <v>418</v>
      </c>
      <c r="C52" s="826"/>
      <c r="D52" s="826"/>
      <c r="E52" s="826"/>
    </row>
    <row r="53" spans="1:5" ht="15" x14ac:dyDescent="0.25">
      <c r="A53" s="843"/>
      <c r="B53" s="826"/>
      <c r="C53" s="826"/>
      <c r="D53" s="826"/>
      <c r="E53" s="826"/>
    </row>
    <row r="54" spans="1:5" ht="15" x14ac:dyDescent="0.25">
      <c r="A54" s="840"/>
      <c r="B54" s="840"/>
      <c r="C54" s="840"/>
      <c r="D54" s="840"/>
      <c r="E54" s="840"/>
    </row>
    <row r="55" spans="1:5" ht="15" x14ac:dyDescent="0.25">
      <c r="A55" s="844" t="s">
        <v>359</v>
      </c>
      <c r="B55" s="840"/>
      <c r="C55" s="845"/>
      <c r="D55" s="845"/>
      <c r="E55" s="840"/>
    </row>
    <row r="56" spans="1:5" ht="15" x14ac:dyDescent="0.25">
      <c r="A56" s="846" t="s">
        <v>60</v>
      </c>
      <c r="B56" s="847" t="str">
        <f>IF(OR(ISBLANK('[3]!'!N69),ISERROR('[3]!'!N69)),"",'[3]!'!N69)</f>
        <v>Martín Andrés, A. y Luna del Castillo, J.D (2004)</v>
      </c>
      <c r="C56" s="840"/>
      <c r="D56" s="840"/>
      <c r="E56" s="840"/>
    </row>
    <row r="57" spans="1:5" ht="15" x14ac:dyDescent="0.25">
      <c r="A57" s="846" t="str">
        <f>IF(OR(ISBLANK('[3]!'!M56),ISERROR('[3]!'!M56)),"",'[3]!'!M56)</f>
        <v/>
      </c>
      <c r="B57" s="848" t="str">
        <f>IF(OR(ISBLANK('[3]!'!N70),ISERROR('[3]!'!N70)),"",'[3]!'!N70)</f>
        <v>Bioestadística para las Ciencias de la Salud</v>
      </c>
      <c r="C57" s="840"/>
      <c r="D57" s="840"/>
      <c r="E57" s="840"/>
    </row>
    <row r="58" spans="1:5" ht="15" x14ac:dyDescent="0.25">
      <c r="A58" s="846" t="str">
        <f>IF(OR(ISBLANK('[3]!'!M57),ISERROR('[3]!'!M57)),"",'[3]!'!M57)</f>
        <v/>
      </c>
      <c r="B58" s="847" t="str">
        <f>IF(OR(ISBLANK('[3]!'!N71),ISERROR('[3]!'!N71)),"",'[3]!'!N71)</f>
        <v>Ed. Norma (Madrid)</v>
      </c>
      <c r="C58" s="840"/>
      <c r="D58" s="840"/>
      <c r="E58" s="840"/>
    </row>
    <row r="59" spans="1:5" ht="15" x14ac:dyDescent="0.25">
      <c r="A59" s="846"/>
      <c r="B59" s="847"/>
      <c r="C59" s="840"/>
      <c r="D59" s="840"/>
      <c r="E59" s="840"/>
    </row>
    <row r="60" spans="1:5" ht="15" x14ac:dyDescent="0.25">
      <c r="A60" s="840"/>
      <c r="B60" s="840"/>
      <c r="C60" s="840"/>
      <c r="D60" s="840"/>
      <c r="E60" s="840"/>
    </row>
    <row r="61" spans="1:5" ht="15" x14ac:dyDescent="0.25">
      <c r="A61" s="836" t="s">
        <v>360</v>
      </c>
      <c r="B61" s="826"/>
      <c r="C61" s="826"/>
      <c r="D61" s="826"/>
      <c r="E61" s="826"/>
    </row>
    <row r="62" spans="1:5" ht="15" x14ac:dyDescent="0.25">
      <c r="A62" s="826"/>
      <c r="B62" s="840" t="s">
        <v>361</v>
      </c>
      <c r="C62" s="840" t="s">
        <v>362</v>
      </c>
      <c r="D62" s="840"/>
      <c r="E62" s="840"/>
    </row>
    <row r="63" spans="1:5" ht="15" x14ac:dyDescent="0.25">
      <c r="A63" s="826"/>
      <c r="B63" s="849" t="s">
        <v>363</v>
      </c>
      <c r="C63" s="826" t="s">
        <v>387</v>
      </c>
      <c r="D63" s="826"/>
      <c r="E63" s="826"/>
    </row>
    <row r="64" spans="1:5" ht="15" x14ac:dyDescent="0.25">
      <c r="A64" s="826"/>
      <c r="B64" s="826" t="s">
        <v>364</v>
      </c>
      <c r="C64" s="850" t="s">
        <v>388</v>
      </c>
      <c r="D64" s="850"/>
      <c r="E64" s="826"/>
    </row>
    <row r="65" spans="1:6" ht="15" x14ac:dyDescent="0.25">
      <c r="A65" s="826"/>
      <c r="B65" s="826" t="s">
        <v>365</v>
      </c>
      <c r="C65" s="1383" t="s">
        <v>366</v>
      </c>
      <c r="D65" s="1383"/>
      <c r="E65" s="1383"/>
      <c r="F65" s="1383"/>
    </row>
    <row r="66" spans="1:6" ht="15" x14ac:dyDescent="0.25">
      <c r="A66" s="840"/>
      <c r="B66" s="840"/>
      <c r="C66" s="840"/>
      <c r="D66" s="840"/>
      <c r="E66" s="840"/>
    </row>
  </sheetData>
  <sheetProtection algorithmName="SHA-512" hashValue="6vEX9f20fyHl07XBYGXnm+raHbasEeND7RZbnNnYZ3n2zOSJbIbu441xuSOatnRj1EA20jzhgBV+mb5X8XG/qA==" saltValue="Bb4u9WjxeJutgCurJNTXjA==" spinCount="100000" sheet="1" objects="1" scenarios="1"/>
  <mergeCells count="10">
    <mergeCell ref="C65:F65"/>
    <mergeCell ref="G3:H3"/>
    <mergeCell ref="J3:L3"/>
    <mergeCell ref="B44:C44"/>
    <mergeCell ref="G4:L4"/>
    <mergeCell ref="N4:R5"/>
    <mergeCell ref="G5:L5"/>
    <mergeCell ref="B37:C37"/>
    <mergeCell ref="B39:C39"/>
    <mergeCell ref="J42:L42"/>
  </mergeCells>
  <phoneticPr fontId="4" type="noConversion"/>
  <hyperlinks>
    <hyperlink ref="E3" r:id="rId1"/>
    <hyperlink ref="B15" location="'Test X2'!A1" display="Test X2"/>
    <hyperlink ref="C65" r:id="rId2"/>
    <hyperlink ref="B48" location="CC!A1" display="cc"/>
    <hyperlink ref="B30" location="Prevalencia!A1" display="Prevalencia"/>
    <hyperlink ref="B44:C44" location="'Test aproximados'!A1" display="Test aproximados"/>
    <hyperlink ref="B37:C37" location="'Test McNemar'!A1" display="Test McNemar"/>
    <hyperlink ref="J42" r:id="rId3"/>
    <hyperlink ref="B39:C39" location="'Acuerdo nominal (2x2)'!A1" display="Acuerdo nominal"/>
  </hyperlinks>
  <pageMargins left="0.75" right="0.75" top="1" bottom="1" header="0" footer="0"/>
  <pageSetup paperSize="9" orientation="portrait" horizontalDpi="1200" verticalDpi="12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Equation.DSMT4" shapeId="6146" r:id="rId7">
          <objectPr defaultSize="0" autoPict="0" r:id="rId8">
            <anchor moveWithCells="1">
              <from>
                <xdr:col>2</xdr:col>
                <xdr:colOff>9525</xdr:colOff>
                <xdr:row>17</xdr:row>
                <xdr:rowOff>47625</xdr:rowOff>
              </from>
              <to>
                <xdr:col>6</xdr:col>
                <xdr:colOff>123825</xdr:colOff>
                <xdr:row>22</xdr:row>
                <xdr:rowOff>104775</xdr:rowOff>
              </to>
            </anchor>
          </objectPr>
        </oleObject>
      </mc:Choice>
      <mc:Fallback>
        <oleObject progId="Equation.DSMT4" shapeId="6146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activeCell="G4" sqref="G4"/>
    </sheetView>
  </sheetViews>
  <sheetFormatPr baseColWidth="10" defaultRowHeight="12.75" x14ac:dyDescent="0.2"/>
  <cols>
    <col min="1" max="1" width="7.85546875" bestFit="1" customWidth="1"/>
    <col min="2" max="2" width="45.7109375" style="491" customWidth="1"/>
    <col min="3" max="3" width="27.85546875" bestFit="1" customWidth="1"/>
    <col min="4" max="4" width="1.5703125" customWidth="1"/>
    <col min="8" max="8" width="13.5703125" customWidth="1"/>
    <col min="10" max="10" width="4.7109375" customWidth="1"/>
  </cols>
  <sheetData>
    <row r="1" spans="1:10" x14ac:dyDescent="0.2">
      <c r="G1" s="498" t="s">
        <v>218</v>
      </c>
      <c r="H1" s="498">
        <f>SUM(A3:A10)</f>
        <v>4</v>
      </c>
      <c r="I1" s="460" t="s">
        <v>221</v>
      </c>
      <c r="J1" s="784" t="s">
        <v>222</v>
      </c>
    </row>
    <row r="2" spans="1:10" x14ac:dyDescent="0.2">
      <c r="A2" s="3" t="s">
        <v>223</v>
      </c>
      <c r="B2" s="495"/>
      <c r="C2" s="2"/>
      <c r="D2" s="2"/>
      <c r="E2" s="2"/>
      <c r="F2" s="2"/>
      <c r="G2" s="499" t="s">
        <v>220</v>
      </c>
      <c r="H2" s="499" t="s">
        <v>219</v>
      </c>
      <c r="I2" s="499"/>
      <c r="J2" s="2"/>
    </row>
    <row r="3" spans="1:10" x14ac:dyDescent="0.2">
      <c r="A3" s="784">
        <v>1</v>
      </c>
      <c r="B3" s="491" t="str">
        <f>"Validez: E="&amp;ROUND('Test X2'!F44,1)&amp;'Test X2'!G44</f>
        <v>Validez: E=47,7&gt;3,9</v>
      </c>
      <c r="C3" s="500" t="str">
        <f>IF(A3,IF(H3&lt;$H$1,B3&amp;$J$1,B3),"")</f>
        <v xml:space="preserve">Validez: E=47,7&gt;3,9; </v>
      </c>
      <c r="D3" s="493" t="str">
        <f>C3</f>
        <v xml:space="preserve">Validez: E=47,7&gt;3,9; </v>
      </c>
      <c r="E3" s="494" t="s">
        <v>61</v>
      </c>
      <c r="G3" s="498"/>
      <c r="H3" s="498">
        <f>A3</f>
        <v>1</v>
      </c>
      <c r="I3" s="498"/>
    </row>
    <row r="4" spans="1:10" x14ac:dyDescent="0.2">
      <c r="A4" s="784">
        <v>0</v>
      </c>
      <c r="B4" s="492" t="str">
        <f>'Test X2'!D90&amp;"="&amp;ROUND('Test X2'!D91,2)&amp;"; "&amp;G4</f>
        <v>c²  (1gl)=54,65; P&lt;0.001</v>
      </c>
      <c r="C4" s="500" t="str">
        <f t="shared" ref="C4:C11" si="0">IF(A4,IF(H4&lt;$H$1,B4&amp;$J$1,B4),"")</f>
        <v/>
      </c>
      <c r="D4" s="493" t="str">
        <f>D3&amp;C4</f>
        <v xml:space="preserve">Validez: E=47,7&gt;3,9; </v>
      </c>
      <c r="E4" s="494" t="s">
        <v>61</v>
      </c>
      <c r="G4" s="498" t="str">
        <f>IF('Test X2'!E91&lt;0.001,"P&lt;0.001","P="&amp;ROUND('Test X2'!E91,3))</f>
        <v>P&lt;0.001</v>
      </c>
      <c r="H4" s="498">
        <f t="shared" ref="H4:H11" si="1">H3+A4</f>
        <v>1</v>
      </c>
      <c r="I4" s="498"/>
    </row>
    <row r="5" spans="1:10" x14ac:dyDescent="0.2">
      <c r="A5" s="784">
        <v>1</v>
      </c>
      <c r="B5" s="491" t="str">
        <f>"d="&amp;ROUND('Test X2'!E49,3)&amp;"; 95%-IC(d)=("&amp;ROUND('Test X2'!G49,3)&amp;", "&amp;ROUND('Test X2'!H49,3)&amp;")"</f>
        <v>d=0,497; 95%-IC(d)=(0,373, 0,621)</v>
      </c>
      <c r="C5" s="500" t="str">
        <f t="shared" si="0"/>
        <v xml:space="preserve">d=0,497; 95%-IC(d)=(0,373, 0,621); </v>
      </c>
      <c r="D5" s="493" t="str">
        <f>D4&amp;C5</f>
        <v xml:space="preserve">Validez: E=47,7&gt;3,9; d=0,497; 95%-IC(d)=(0,373, 0,621); </v>
      </c>
      <c r="E5" s="494" t="s">
        <v>61</v>
      </c>
      <c r="G5" s="498"/>
      <c r="H5" s="498">
        <f t="shared" si="1"/>
        <v>2</v>
      </c>
      <c r="I5" s="498"/>
    </row>
    <row r="6" spans="1:10" x14ac:dyDescent="0.2">
      <c r="A6" s="784">
        <v>1</v>
      </c>
      <c r="B6" s="491" t="str">
        <f>"R="&amp;ROUND('Test X2'!E53,2)&amp;"; 95%-IC(R)=("&amp;ROUND('Test X2'!G53,2)&amp;", "&amp;ROUND('Test X2'!H53,2)&amp;")"</f>
        <v>R=3,29; 95%-IC(R)=(2,28, 4,73)</v>
      </c>
      <c r="C6" s="500" t="str">
        <f t="shared" si="0"/>
        <v xml:space="preserve">R=3,29; 95%-IC(R)=(2,28, 4,73); </v>
      </c>
      <c r="D6" s="493" t="str">
        <f t="shared" ref="D6:D11" si="2">D5&amp;C6</f>
        <v xml:space="preserve">Validez: E=47,7&gt;3,9; d=0,497; 95%-IC(d)=(0,373, 0,621); R=3,29; 95%-IC(R)=(2,28, 4,73); </v>
      </c>
      <c r="E6" s="494" t="s">
        <v>61</v>
      </c>
      <c r="G6" s="498"/>
      <c r="H6" s="498">
        <f t="shared" si="1"/>
        <v>3</v>
      </c>
      <c r="I6" s="498"/>
    </row>
    <row r="7" spans="1:10" x14ac:dyDescent="0.2">
      <c r="A7" s="784">
        <v>1</v>
      </c>
      <c r="B7" s="491" t="str">
        <f>"OR="&amp;ROUND('Test X2'!E63,2)&amp;"; 95%-IC(OR)=("&amp;ROUND('Test X2'!G63,2)&amp;", "&amp;ROUND('Test X2'!H63,2)&amp;")"</f>
        <v>OR=9; 95%-IC(OR)=(6,6, 16,53)</v>
      </c>
      <c r="C7" s="500" t="str">
        <f t="shared" si="0"/>
        <v>OR=9; 95%-IC(OR)=(6,6, 16,53)</v>
      </c>
      <c r="D7" s="493" t="str">
        <f t="shared" si="2"/>
        <v>Validez: E=47,7&gt;3,9; d=0,497; 95%-IC(d)=(0,373, 0,621); R=3,29; 95%-IC(R)=(2,28, 4,73); OR=9; 95%-IC(OR)=(6,6, 16,53)</v>
      </c>
      <c r="E7" s="494" t="s">
        <v>61</v>
      </c>
      <c r="G7" s="498"/>
      <c r="H7" s="498">
        <f t="shared" si="1"/>
        <v>4</v>
      </c>
      <c r="I7" s="498"/>
    </row>
    <row r="8" spans="1:10" x14ac:dyDescent="0.2">
      <c r="A8" s="784">
        <v>0</v>
      </c>
      <c r="B8" s="491" t="str">
        <f>"Ra="&amp;ROUND('Test X2'!E69,2)&amp;"; 95%-IC(Ra)=("&amp;ROUND('Test X2'!G69,2)&amp;", "&amp;ROUND('Test X2'!I69,2)&amp;")"</f>
        <v>Ra=0,52; 95%-IC(Ra)=(0,36, 0,64)</v>
      </c>
      <c r="C8" s="500" t="str">
        <f t="shared" si="0"/>
        <v/>
      </c>
      <c r="D8" s="493" t="str">
        <f t="shared" si="2"/>
        <v>Validez: E=47,7&gt;3,9; d=0,497; 95%-IC(d)=(0,373, 0,621); R=3,29; 95%-IC(R)=(2,28, 4,73); OR=9; 95%-IC(OR)=(6,6, 16,53)</v>
      </c>
      <c r="E8" s="494" t="s">
        <v>61</v>
      </c>
      <c r="G8" s="498"/>
      <c r="H8" s="498">
        <f t="shared" si="1"/>
        <v>4</v>
      </c>
      <c r="I8" s="498"/>
    </row>
    <row r="9" spans="1:10" x14ac:dyDescent="0.2">
      <c r="A9" s="784">
        <v>0</v>
      </c>
      <c r="C9" s="500" t="str">
        <f t="shared" si="0"/>
        <v/>
      </c>
      <c r="D9" s="493" t="str">
        <f t="shared" si="2"/>
        <v>Validez: E=47,7&gt;3,9; d=0,497; 95%-IC(d)=(0,373, 0,621); R=3,29; 95%-IC(R)=(2,28, 4,73); OR=9; 95%-IC(OR)=(6,6, 16,53)</v>
      </c>
      <c r="E9" s="494" t="s">
        <v>61</v>
      </c>
      <c r="G9" s="498"/>
      <c r="H9" s="498">
        <f t="shared" si="1"/>
        <v>4</v>
      </c>
      <c r="I9" s="498"/>
    </row>
    <row r="10" spans="1:10" x14ac:dyDescent="0.2">
      <c r="A10" s="784">
        <v>0</v>
      </c>
      <c r="C10" s="500" t="str">
        <f t="shared" si="0"/>
        <v/>
      </c>
      <c r="D10" s="493" t="str">
        <f t="shared" si="2"/>
        <v>Validez: E=47,7&gt;3,9; d=0,497; 95%-IC(d)=(0,373, 0,621); R=3,29; 95%-IC(R)=(2,28, 4,73); OR=9; 95%-IC(OR)=(6,6, 16,53)</v>
      </c>
      <c r="E10" s="494" t="s">
        <v>61</v>
      </c>
      <c r="G10" s="498"/>
      <c r="H10" s="498">
        <f t="shared" si="1"/>
        <v>4</v>
      </c>
      <c r="I10" s="498"/>
    </row>
    <row r="11" spans="1:10" x14ac:dyDescent="0.2">
      <c r="A11" s="785">
        <v>0</v>
      </c>
      <c r="B11" s="495"/>
      <c r="C11" s="501" t="str">
        <f t="shared" si="0"/>
        <v/>
      </c>
      <c r="D11" s="496" t="str">
        <f t="shared" si="2"/>
        <v>Validez: E=47,7&gt;3,9; d=0,497; 95%-IC(d)=(0,373, 0,621); R=3,29; 95%-IC(R)=(2,28, 4,73); OR=9; 95%-IC(OR)=(6,6, 16,53)</v>
      </c>
      <c r="E11" s="497" t="s">
        <v>61</v>
      </c>
      <c r="F11" s="2"/>
      <c r="G11" s="499"/>
      <c r="H11" s="499">
        <f t="shared" si="1"/>
        <v>4</v>
      </c>
      <c r="I11" s="499"/>
      <c r="J11" s="2"/>
    </row>
    <row r="13" spans="1:10" x14ac:dyDescent="0.2">
      <c r="A13" s="458" t="s">
        <v>224</v>
      </c>
    </row>
    <row r="14" spans="1:10" x14ac:dyDescent="0.2">
      <c r="A14" s="502" t="s">
        <v>225</v>
      </c>
      <c r="B14" s="488" t="str">
        <f>D11</f>
        <v>Validez: E=47,7&gt;3,9; d=0,497; 95%-IC(d)=(0,373, 0,621); R=3,29; 95%-IC(R)=(2,28, 4,73); OR=9; 95%-IC(OR)=(6,6, 16,53)</v>
      </c>
    </row>
  </sheetData>
  <sheetProtection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710"/>
  <sheetViews>
    <sheetView workbookViewId="0">
      <selection activeCell="C20" sqref="C20"/>
    </sheetView>
  </sheetViews>
  <sheetFormatPr baseColWidth="10" defaultRowHeight="15" x14ac:dyDescent="0.25"/>
  <cols>
    <col min="1" max="2" width="11.42578125" style="301"/>
    <col min="3" max="3" width="13" style="301" customWidth="1"/>
    <col min="4" max="4" width="11.85546875" style="301" bestFit="1" customWidth="1"/>
    <col min="5" max="6" width="11.42578125" style="301"/>
    <col min="7" max="7" width="7.42578125" style="303" customWidth="1"/>
    <col min="8" max="8" width="4.85546875" style="304" customWidth="1"/>
    <col min="9" max="11" width="4.85546875" style="305" customWidth="1"/>
    <col min="12" max="12" width="5" style="301" customWidth="1"/>
    <col min="13" max="13" width="14.85546875" style="314" customWidth="1"/>
    <col min="14" max="14" width="13.7109375" style="301" customWidth="1"/>
    <col min="15" max="15" width="13.7109375" style="324" customWidth="1"/>
    <col min="16" max="16" width="11.42578125" style="301"/>
    <col min="17" max="17" width="7.5703125" style="303" customWidth="1"/>
    <col min="18" max="18" width="4.85546875" style="304" customWidth="1"/>
    <col min="19" max="21" width="4.85546875" style="305" customWidth="1"/>
    <col min="22" max="22" width="4.5703125" style="301" customWidth="1"/>
    <col min="23" max="23" width="15.28515625" style="314" customWidth="1"/>
    <col min="24" max="24" width="17" style="301" customWidth="1"/>
    <col min="25" max="25" width="13.140625" style="324" customWidth="1"/>
    <col min="26" max="16384" width="11.42578125" style="301"/>
  </cols>
  <sheetData>
    <row r="3" spans="1:25" x14ac:dyDescent="0.25">
      <c r="B3" s="302" t="s">
        <v>58</v>
      </c>
      <c r="C3" s="504" t="str">
        <f>IF('MH01'!R3,"",'MH01'!R4)</f>
        <v/>
      </c>
    </row>
    <row r="5" spans="1:25" x14ac:dyDescent="0.25">
      <c r="B5" s="320">
        <f>IF('MH01'!$R$3,'Test X2'!E21,1)</f>
        <v>75</v>
      </c>
      <c r="C5" s="320">
        <f>IF('MH01'!$R$3,'Test X2'!F21,1)</f>
        <v>25</v>
      </c>
      <c r="D5" s="306">
        <f>SUM(B5:C5)</f>
        <v>100</v>
      </c>
      <c r="I5" s="1365" t="s">
        <v>118</v>
      </c>
      <c r="J5" s="1365"/>
      <c r="K5" s="1365"/>
      <c r="L5" s="1365"/>
      <c r="M5" s="321"/>
      <c r="N5" s="305" t="s">
        <v>137</v>
      </c>
      <c r="O5" s="325" t="s">
        <v>138</v>
      </c>
      <c r="P5" s="305"/>
      <c r="S5" s="1365" t="s">
        <v>119</v>
      </c>
      <c r="T5" s="1365"/>
      <c r="U5" s="1365"/>
      <c r="V5" s="1365"/>
      <c r="X5" s="305" t="s">
        <v>137</v>
      </c>
      <c r="Y5" s="327" t="s">
        <v>138</v>
      </c>
    </row>
    <row r="6" spans="1:25" ht="15.75" thickBot="1" x14ac:dyDescent="0.3">
      <c r="B6" s="320">
        <f>IF('MH01'!$R$3,'Test X2'!E22,1)</f>
        <v>30</v>
      </c>
      <c r="C6" s="320">
        <f>IF('MH01'!$R$3,'Test X2'!F22,1)</f>
        <v>90</v>
      </c>
      <c r="D6" s="307">
        <f>SUM(B6:C6)</f>
        <v>120</v>
      </c>
      <c r="F6" s="305" t="s">
        <v>120</v>
      </c>
      <c r="G6" s="308">
        <f>C16</f>
        <v>75</v>
      </c>
      <c r="H6" s="309" t="s">
        <v>121</v>
      </c>
      <c r="I6" s="310" t="s">
        <v>121</v>
      </c>
      <c r="J6" s="310" t="s">
        <v>122</v>
      </c>
      <c r="K6" s="310" t="s">
        <v>123</v>
      </c>
      <c r="L6" s="310" t="s">
        <v>124</v>
      </c>
      <c r="M6" s="322" t="s">
        <v>126</v>
      </c>
      <c r="N6" s="311" t="e">
        <f>SUM(N7:N710)</f>
        <v>#NUM!</v>
      </c>
      <c r="O6" s="329" t="e">
        <f>SUM(O7:O710)</f>
        <v>#NUM!</v>
      </c>
      <c r="P6" s="305" t="str">
        <f>F6</f>
        <v>hasta &gt;&gt;</v>
      </c>
      <c r="Q6" s="308">
        <f>C16</f>
        <v>75</v>
      </c>
      <c r="R6" s="309" t="s">
        <v>121</v>
      </c>
      <c r="S6" s="310" t="s">
        <v>121</v>
      </c>
      <c r="T6" s="310" t="s">
        <v>122</v>
      </c>
      <c r="U6" s="310" t="s">
        <v>123</v>
      </c>
      <c r="V6" s="310" t="s">
        <v>124</v>
      </c>
      <c r="W6" s="322" t="str">
        <f>M6</f>
        <v>P(x1) Recursiva</v>
      </c>
      <c r="X6" s="312" t="e">
        <f>SUM(X7:X710)</f>
        <v>#NUM!</v>
      </c>
      <c r="Y6" s="328">
        <f>SUM(Y7:Y710)</f>
        <v>0</v>
      </c>
    </row>
    <row r="7" spans="1:25" x14ac:dyDescent="0.25">
      <c r="B7" s="301">
        <f>SUM(B5:B6)</f>
        <v>105</v>
      </c>
      <c r="C7" s="301">
        <f>SUM(C5:C6)</f>
        <v>115</v>
      </c>
      <c r="D7" s="306">
        <f>SUM(B7:C7)</f>
        <v>220</v>
      </c>
      <c r="G7" s="303">
        <f t="shared" ref="G7:G70" si="0">IF(H7&lt;=$C$16,1,0)</f>
        <v>1</v>
      </c>
      <c r="H7" s="304">
        <f>C12</f>
        <v>0</v>
      </c>
      <c r="I7" s="305">
        <f t="shared" ref="I7:I12" si="1">IF(G7,H7,"")</f>
        <v>0</v>
      </c>
      <c r="J7" s="313">
        <f t="shared" ref="J7:J12" si="2">IF(G7,$D$5-H7,"")</f>
        <v>100</v>
      </c>
      <c r="K7" s="313">
        <f t="shared" ref="K7:K12" si="3">IF(G7,$B$7-H7,"")</f>
        <v>105</v>
      </c>
      <c r="L7" s="305">
        <f t="shared" ref="L7:L12" si="4">IF(G7,$D$7-SUM(I7:K7),"")</f>
        <v>15</v>
      </c>
      <c r="M7" s="323" t="e">
        <f>IF(G7,$C$30/(FACT(I7)*FACT(J7)*FACT(K7)*FACT(L7)),"")</f>
        <v>#NUM!</v>
      </c>
      <c r="N7" s="305" t="e">
        <f t="shared" ref="N7:N12" si="5">IF(AND(G7=1,I7&lt;=$B$5),M7,"")</f>
        <v>#NUM!</v>
      </c>
      <c r="O7" s="326" t="e">
        <f>IF($C$15=1,IF(M7&lt;=$C$17,M7,""),"")</f>
        <v>#NUM!</v>
      </c>
      <c r="P7" s="305"/>
      <c r="Q7" s="303">
        <f t="shared" ref="Q7:Q70" si="6">IF(R7&gt;=$C$16,1,0)</f>
        <v>1</v>
      </c>
      <c r="R7" s="304">
        <f>C13</f>
        <v>100</v>
      </c>
      <c r="S7" s="313">
        <f t="shared" ref="S7:S12" si="7">IF(Q7,R7,"")</f>
        <v>100</v>
      </c>
      <c r="T7" s="305">
        <f t="shared" ref="T7:T12" si="8">IF(Q7,$D$5-R7,"")</f>
        <v>0</v>
      </c>
      <c r="U7" s="305">
        <f t="shared" ref="U7:U12" si="9">IF(Q7,$B$7-R7,"")</f>
        <v>5</v>
      </c>
      <c r="V7" s="313">
        <f t="shared" ref="V7:V12" si="10">IF(Q7,$D$7-SUM(S7:U7),"")</f>
        <v>115</v>
      </c>
      <c r="W7" s="314" t="e">
        <f>IF(Q7,$C$30/(FACT(S7)*FACT(T7)*FACT(U7)*FACT(V7)),"")</f>
        <v>#NUM!</v>
      </c>
      <c r="X7" s="314" t="e">
        <f t="shared" ref="X7:X12" si="11">IF(AND(Q7=1,S7&gt;=$B$5),W7,"")</f>
        <v>#NUM!</v>
      </c>
      <c r="Y7" s="326" t="str">
        <f>IF($C$15=-1,IF(M7&lt;=$C$17,M7,""),"")</f>
        <v/>
      </c>
    </row>
    <row r="8" spans="1:25" x14ac:dyDescent="0.25">
      <c r="B8" s="301" t="s">
        <v>152</v>
      </c>
      <c r="C8" s="316">
        <f>B9*C10/(C9*B10)</f>
        <v>8.7852780456444872</v>
      </c>
      <c r="G8" s="303">
        <f t="shared" si="0"/>
        <v>1</v>
      </c>
      <c r="H8" s="304">
        <f>H7+1</f>
        <v>1</v>
      </c>
      <c r="I8" s="315">
        <f t="shared" si="1"/>
        <v>1</v>
      </c>
      <c r="J8" s="305">
        <f t="shared" si="2"/>
        <v>99</v>
      </c>
      <c r="K8" s="305">
        <f t="shared" si="3"/>
        <v>104</v>
      </c>
      <c r="L8" s="315">
        <f t="shared" si="4"/>
        <v>16</v>
      </c>
      <c r="M8" s="314" t="e">
        <f>IF(G8,M7*(K7*J7)/(L8*I8),"")</f>
        <v>#NUM!</v>
      </c>
      <c r="N8" s="305" t="e">
        <f t="shared" si="5"/>
        <v>#NUM!</v>
      </c>
      <c r="O8" s="326" t="e">
        <f t="shared" ref="O8:O71" si="12">IF($C$15=1,IF(AND(O7&lt;=$C$17,M8&lt;=$C$17),M8,""),"")</f>
        <v>#NUM!</v>
      </c>
      <c r="P8" s="305"/>
      <c r="Q8" s="303">
        <f t="shared" si="6"/>
        <v>1</v>
      </c>
      <c r="R8" s="304">
        <f>R7-1</f>
        <v>99</v>
      </c>
      <c r="S8" s="305">
        <f t="shared" si="7"/>
        <v>99</v>
      </c>
      <c r="T8" s="315">
        <f t="shared" si="8"/>
        <v>1</v>
      </c>
      <c r="U8" s="315">
        <f t="shared" si="9"/>
        <v>6</v>
      </c>
      <c r="V8" s="305">
        <f t="shared" si="10"/>
        <v>114</v>
      </c>
      <c r="W8" s="314" t="e">
        <f>IF(Q8,W7*(S7*V7)/(U8*T8),"")</f>
        <v>#NUM!</v>
      </c>
      <c r="X8" s="314" t="e">
        <f t="shared" si="11"/>
        <v>#NUM!</v>
      </c>
      <c r="Y8" s="326" t="str">
        <f t="shared" ref="Y8:Y71" si="13">IF($C$15=-1,IF(AND(Y7&lt;=$C$17,W8&lt;=$C$17),M8,""),"")</f>
        <v/>
      </c>
    </row>
    <row r="9" spans="1:25" x14ac:dyDescent="0.25">
      <c r="B9" s="352">
        <f>B5+0.5</f>
        <v>75.5</v>
      </c>
      <c r="C9" s="352">
        <f>C5+0.5</f>
        <v>25.5</v>
      </c>
      <c r="G9" s="303">
        <f t="shared" si="0"/>
        <v>1</v>
      </c>
      <c r="H9" s="304">
        <f t="shared" ref="H9:H72" si="14">H8+1</f>
        <v>2</v>
      </c>
      <c r="I9" s="305">
        <f t="shared" si="1"/>
        <v>2</v>
      </c>
      <c r="J9" s="305">
        <f t="shared" si="2"/>
        <v>98</v>
      </c>
      <c r="K9" s="305">
        <f t="shared" si="3"/>
        <v>103</v>
      </c>
      <c r="L9" s="305">
        <f t="shared" si="4"/>
        <v>17</v>
      </c>
      <c r="M9" s="314" t="e">
        <f>IF(G9,M8*(K8*J8)/(L9*I9),"")</f>
        <v>#NUM!</v>
      </c>
      <c r="N9" s="305" t="e">
        <f t="shared" si="5"/>
        <v>#NUM!</v>
      </c>
      <c r="O9" s="327" t="e">
        <f t="shared" si="12"/>
        <v>#NUM!</v>
      </c>
      <c r="P9" s="305"/>
      <c r="Q9" s="303">
        <f t="shared" si="6"/>
        <v>1</v>
      </c>
      <c r="R9" s="304">
        <f t="shared" ref="R9:R72" si="15">R8-1</f>
        <v>98</v>
      </c>
      <c r="S9" s="305">
        <f t="shared" si="7"/>
        <v>98</v>
      </c>
      <c r="T9" s="305">
        <f t="shared" si="8"/>
        <v>2</v>
      </c>
      <c r="U9" s="305">
        <f t="shared" si="9"/>
        <v>7</v>
      </c>
      <c r="V9" s="305">
        <f t="shared" si="10"/>
        <v>113</v>
      </c>
      <c r="W9" s="314" t="e">
        <f>IF(Q9,W8*(S8*V8)/(U9*T9),"")</f>
        <v>#NUM!</v>
      </c>
      <c r="X9" s="314" t="e">
        <f t="shared" si="11"/>
        <v>#NUM!</v>
      </c>
      <c r="Y9" s="326" t="str">
        <f t="shared" si="13"/>
        <v/>
      </c>
    </row>
    <row r="10" spans="1:25" x14ac:dyDescent="0.25">
      <c r="B10" s="352">
        <f>B6+0.5</f>
        <v>30.5</v>
      </c>
      <c r="C10" s="352">
        <f>C6+0.5</f>
        <v>90.5</v>
      </c>
      <c r="G10" s="303">
        <f t="shared" si="0"/>
        <v>1</v>
      </c>
      <c r="H10" s="304">
        <f t="shared" si="14"/>
        <v>3</v>
      </c>
      <c r="I10" s="305">
        <f t="shared" si="1"/>
        <v>3</v>
      </c>
      <c r="J10" s="305">
        <f t="shared" si="2"/>
        <v>97</v>
      </c>
      <c r="K10" s="305">
        <f t="shared" si="3"/>
        <v>102</v>
      </c>
      <c r="L10" s="305">
        <f t="shared" si="4"/>
        <v>18</v>
      </c>
      <c r="M10" s="314" t="e">
        <f>IF(G10,M9*(K9*J9)/(L10*I10),"")</f>
        <v>#NUM!</v>
      </c>
      <c r="N10" s="305" t="e">
        <f t="shared" si="5"/>
        <v>#NUM!</v>
      </c>
      <c r="O10" s="327" t="e">
        <f t="shared" si="12"/>
        <v>#NUM!</v>
      </c>
      <c r="P10" s="305"/>
      <c r="Q10" s="303">
        <f t="shared" si="6"/>
        <v>1</v>
      </c>
      <c r="R10" s="304">
        <f t="shared" si="15"/>
        <v>97</v>
      </c>
      <c r="S10" s="305">
        <f t="shared" si="7"/>
        <v>97</v>
      </c>
      <c r="T10" s="305">
        <f t="shared" si="8"/>
        <v>3</v>
      </c>
      <c r="U10" s="305">
        <f t="shared" si="9"/>
        <v>8</v>
      </c>
      <c r="V10" s="305">
        <f t="shared" si="10"/>
        <v>112</v>
      </c>
      <c r="W10" s="314" t="e">
        <f>IF(Q10,W9*(S9*V9)/(U10*T10),"")</f>
        <v>#NUM!</v>
      </c>
      <c r="X10" s="314" t="e">
        <f t="shared" si="11"/>
        <v>#NUM!</v>
      </c>
      <c r="Y10" s="326" t="str">
        <f t="shared" si="13"/>
        <v/>
      </c>
    </row>
    <row r="11" spans="1:25" x14ac:dyDescent="0.25">
      <c r="G11" s="303">
        <f t="shared" si="0"/>
        <v>1</v>
      </c>
      <c r="H11" s="304">
        <f t="shared" si="14"/>
        <v>4</v>
      </c>
      <c r="I11" s="305">
        <f t="shared" si="1"/>
        <v>4</v>
      </c>
      <c r="J11" s="305">
        <f t="shared" si="2"/>
        <v>96</v>
      </c>
      <c r="K11" s="305">
        <f t="shared" si="3"/>
        <v>101</v>
      </c>
      <c r="L11" s="305">
        <f t="shared" si="4"/>
        <v>19</v>
      </c>
      <c r="M11" s="314" t="e">
        <f>IF(G11,M10*(K10*J10)/(L11*I11),"")</f>
        <v>#NUM!</v>
      </c>
      <c r="N11" s="305" t="e">
        <f t="shared" si="5"/>
        <v>#NUM!</v>
      </c>
      <c r="O11" s="327" t="e">
        <f t="shared" si="12"/>
        <v>#NUM!</v>
      </c>
      <c r="P11" s="305"/>
      <c r="Q11" s="303">
        <f t="shared" si="6"/>
        <v>1</v>
      </c>
      <c r="R11" s="304">
        <f t="shared" si="15"/>
        <v>96</v>
      </c>
      <c r="S11" s="305">
        <f t="shared" si="7"/>
        <v>96</v>
      </c>
      <c r="T11" s="305">
        <f t="shared" si="8"/>
        <v>4</v>
      </c>
      <c r="U11" s="305">
        <f t="shared" si="9"/>
        <v>9</v>
      </c>
      <c r="V11" s="305">
        <f t="shared" si="10"/>
        <v>111</v>
      </c>
      <c r="W11" s="314" t="e">
        <f>IF(Q11,W10*(S10*V10)/(U11*T11),"")</f>
        <v>#NUM!</v>
      </c>
      <c r="X11" s="314" t="e">
        <f t="shared" si="11"/>
        <v>#NUM!</v>
      </c>
      <c r="Y11" s="326" t="str">
        <f t="shared" si="13"/>
        <v/>
      </c>
    </row>
    <row r="12" spans="1:25" x14ac:dyDescent="0.25">
      <c r="B12" s="301" t="s">
        <v>127</v>
      </c>
      <c r="C12" s="301">
        <f>MAX(0,D5-C7)</f>
        <v>0</v>
      </c>
      <c r="D12" s="301" t="s">
        <v>128</v>
      </c>
      <c r="G12" s="303">
        <f t="shared" si="0"/>
        <v>1</v>
      </c>
      <c r="H12" s="304">
        <f t="shared" si="14"/>
        <v>5</v>
      </c>
      <c r="I12" s="305">
        <f t="shared" si="1"/>
        <v>5</v>
      </c>
      <c r="J12" s="305">
        <f t="shared" si="2"/>
        <v>95</v>
      </c>
      <c r="K12" s="305">
        <f t="shared" si="3"/>
        <v>100</v>
      </c>
      <c r="L12" s="305">
        <f t="shared" si="4"/>
        <v>20</v>
      </c>
      <c r="M12" s="314" t="e">
        <f>IF(G12,M11*(K11*J11)/(L12*I12),"")</f>
        <v>#NUM!</v>
      </c>
      <c r="N12" s="305" t="e">
        <f t="shared" si="5"/>
        <v>#NUM!</v>
      </c>
      <c r="O12" s="327" t="e">
        <f t="shared" si="12"/>
        <v>#NUM!</v>
      </c>
      <c r="P12" s="305"/>
      <c r="Q12" s="303">
        <f t="shared" si="6"/>
        <v>1</v>
      </c>
      <c r="R12" s="304">
        <f t="shared" si="15"/>
        <v>95</v>
      </c>
      <c r="S12" s="305">
        <f t="shared" si="7"/>
        <v>95</v>
      </c>
      <c r="T12" s="305">
        <f t="shared" si="8"/>
        <v>5</v>
      </c>
      <c r="U12" s="305">
        <f t="shared" si="9"/>
        <v>10</v>
      </c>
      <c r="V12" s="305">
        <f t="shared" si="10"/>
        <v>110</v>
      </c>
      <c r="W12" s="314" t="e">
        <f>IF(Q12,W11*(S11*V11)/(U12*T12),"")</f>
        <v>#NUM!</v>
      </c>
      <c r="X12" s="314" t="e">
        <f t="shared" si="11"/>
        <v>#NUM!</v>
      </c>
      <c r="Y12" s="326" t="str">
        <f t="shared" si="13"/>
        <v/>
      </c>
    </row>
    <row r="13" spans="1:25" x14ac:dyDescent="0.25">
      <c r="B13" s="301" t="s">
        <v>129</v>
      </c>
      <c r="C13" s="301">
        <f>MIN(B7,D5)</f>
        <v>100</v>
      </c>
      <c r="D13" s="301" t="s">
        <v>130</v>
      </c>
      <c r="G13" s="303">
        <f t="shared" si="0"/>
        <v>1</v>
      </c>
      <c r="H13" s="304">
        <f t="shared" si="14"/>
        <v>6</v>
      </c>
      <c r="I13" s="305">
        <f t="shared" ref="I13:I76" si="16">IF(G13,H13,"")</f>
        <v>6</v>
      </c>
      <c r="J13" s="305">
        <f t="shared" ref="J13:J76" si="17">IF(G13,$D$5-H13,"")</f>
        <v>94</v>
      </c>
      <c r="K13" s="305">
        <f t="shared" ref="K13:K76" si="18">IF(G13,$B$7-H13,"")</f>
        <v>99</v>
      </c>
      <c r="L13" s="305">
        <f t="shared" ref="L13:L76" si="19">IF(G13,$D$7-SUM(I13:K13),"")</f>
        <v>21</v>
      </c>
      <c r="M13" s="314" t="e">
        <f t="shared" ref="M13:M76" si="20">IF(G13,M12*(K12*J12)/(L13*I13),"")</f>
        <v>#NUM!</v>
      </c>
      <c r="N13" s="305" t="e">
        <f t="shared" ref="N13:N76" si="21">IF(AND(G13=1,I13&lt;=$B$5),M13,"")</f>
        <v>#NUM!</v>
      </c>
      <c r="O13" s="327" t="e">
        <f t="shared" si="12"/>
        <v>#NUM!</v>
      </c>
      <c r="P13" s="305"/>
      <c r="Q13" s="303">
        <f t="shared" si="6"/>
        <v>1</v>
      </c>
      <c r="R13" s="304">
        <f t="shared" si="15"/>
        <v>94</v>
      </c>
      <c r="S13" s="305">
        <f t="shared" ref="S13:S76" si="22">IF(Q13,R13,"")</f>
        <v>94</v>
      </c>
      <c r="T13" s="305">
        <f t="shared" ref="T13:T76" si="23">IF(Q13,$D$5-R13,"")</f>
        <v>6</v>
      </c>
      <c r="U13" s="305">
        <f t="shared" ref="U13:U76" si="24">IF(Q13,$B$7-R13,"")</f>
        <v>11</v>
      </c>
      <c r="V13" s="305">
        <f t="shared" ref="V13:V76" si="25">IF(Q13,$D$7-SUM(S13:U13),"")</f>
        <v>109</v>
      </c>
      <c r="W13" s="314" t="e">
        <f t="shared" ref="W13:W76" si="26">IF(Q13,W12*(S12*V12)/(U13*T13),"")</f>
        <v>#NUM!</v>
      </c>
      <c r="X13" s="314" t="e">
        <f t="shared" ref="X13:X76" si="27">IF(AND(Q13=1,S13&gt;=$B$5),W13,"")</f>
        <v>#NUM!</v>
      </c>
      <c r="Y13" s="326" t="str">
        <f t="shared" si="13"/>
        <v/>
      </c>
    </row>
    <row r="14" spans="1:25" x14ac:dyDescent="0.25">
      <c r="A14" s="317"/>
      <c r="B14" s="301" t="s">
        <v>131</v>
      </c>
      <c r="C14" s="316">
        <f>D5*B7/D7</f>
        <v>47.727272727272727</v>
      </c>
      <c r="G14" s="303">
        <f t="shared" si="0"/>
        <v>1</v>
      </c>
      <c r="H14" s="304">
        <f t="shared" si="14"/>
        <v>7</v>
      </c>
      <c r="I14" s="305">
        <f t="shared" si="16"/>
        <v>7</v>
      </c>
      <c r="J14" s="305">
        <f t="shared" si="17"/>
        <v>93</v>
      </c>
      <c r="K14" s="305">
        <f t="shared" si="18"/>
        <v>98</v>
      </c>
      <c r="L14" s="305">
        <f t="shared" si="19"/>
        <v>22</v>
      </c>
      <c r="M14" s="314" t="e">
        <f t="shared" si="20"/>
        <v>#NUM!</v>
      </c>
      <c r="N14" s="305" t="e">
        <f t="shared" si="21"/>
        <v>#NUM!</v>
      </c>
      <c r="O14" s="327" t="e">
        <f t="shared" si="12"/>
        <v>#NUM!</v>
      </c>
      <c r="P14" s="305"/>
      <c r="Q14" s="303">
        <f t="shared" si="6"/>
        <v>1</v>
      </c>
      <c r="R14" s="304">
        <f t="shared" si="15"/>
        <v>93</v>
      </c>
      <c r="S14" s="305">
        <f t="shared" si="22"/>
        <v>93</v>
      </c>
      <c r="T14" s="305">
        <f t="shared" si="23"/>
        <v>7</v>
      </c>
      <c r="U14" s="305">
        <f t="shared" si="24"/>
        <v>12</v>
      </c>
      <c r="V14" s="305">
        <f t="shared" si="25"/>
        <v>108</v>
      </c>
      <c r="W14" s="314" t="e">
        <f t="shared" si="26"/>
        <v>#NUM!</v>
      </c>
      <c r="X14" s="314" t="e">
        <f t="shared" si="27"/>
        <v>#NUM!</v>
      </c>
      <c r="Y14" s="326" t="str">
        <f t="shared" si="13"/>
        <v/>
      </c>
    </row>
    <row r="15" spans="1:25" x14ac:dyDescent="0.25">
      <c r="B15" s="301" t="s">
        <v>132</v>
      </c>
      <c r="C15" s="301">
        <f>IF(B5&lt;C14,-1,1)</f>
        <v>1</v>
      </c>
      <c r="D15" s="301" t="str">
        <f>IF(C15=1,"Derecha","Izquierda")</f>
        <v>Derecha</v>
      </c>
      <c r="G15" s="303">
        <f t="shared" si="0"/>
        <v>1</v>
      </c>
      <c r="H15" s="304">
        <f t="shared" si="14"/>
        <v>8</v>
      </c>
      <c r="I15" s="305">
        <f t="shared" si="16"/>
        <v>8</v>
      </c>
      <c r="J15" s="305">
        <f t="shared" si="17"/>
        <v>92</v>
      </c>
      <c r="K15" s="305">
        <f t="shared" si="18"/>
        <v>97</v>
      </c>
      <c r="L15" s="305">
        <f t="shared" si="19"/>
        <v>23</v>
      </c>
      <c r="M15" s="314" t="e">
        <f t="shared" si="20"/>
        <v>#NUM!</v>
      </c>
      <c r="N15" s="305" t="e">
        <f t="shared" si="21"/>
        <v>#NUM!</v>
      </c>
      <c r="O15" s="327" t="e">
        <f t="shared" si="12"/>
        <v>#NUM!</v>
      </c>
      <c r="P15" s="305"/>
      <c r="Q15" s="303">
        <f t="shared" si="6"/>
        <v>1</v>
      </c>
      <c r="R15" s="304">
        <f t="shared" si="15"/>
        <v>92</v>
      </c>
      <c r="S15" s="305">
        <f t="shared" si="22"/>
        <v>92</v>
      </c>
      <c r="T15" s="305">
        <f t="shared" si="23"/>
        <v>8</v>
      </c>
      <c r="U15" s="305">
        <f t="shared" si="24"/>
        <v>13</v>
      </c>
      <c r="V15" s="305">
        <f t="shared" si="25"/>
        <v>107</v>
      </c>
      <c r="W15" s="314" t="e">
        <f t="shared" si="26"/>
        <v>#NUM!</v>
      </c>
      <c r="X15" s="314" t="e">
        <f t="shared" si="27"/>
        <v>#NUM!</v>
      </c>
      <c r="Y15" s="326" t="str">
        <f t="shared" si="13"/>
        <v/>
      </c>
    </row>
    <row r="16" spans="1:25" x14ac:dyDescent="0.25">
      <c r="B16" s="301" t="s">
        <v>121</v>
      </c>
      <c r="C16" s="301">
        <f>B5</f>
        <v>75</v>
      </c>
      <c r="G16" s="303">
        <f t="shared" si="0"/>
        <v>1</v>
      </c>
      <c r="H16" s="304">
        <f t="shared" si="14"/>
        <v>9</v>
      </c>
      <c r="I16" s="305">
        <f t="shared" si="16"/>
        <v>9</v>
      </c>
      <c r="J16" s="305">
        <f t="shared" si="17"/>
        <v>91</v>
      </c>
      <c r="K16" s="305">
        <f t="shared" si="18"/>
        <v>96</v>
      </c>
      <c r="L16" s="305">
        <f t="shared" si="19"/>
        <v>24</v>
      </c>
      <c r="M16" s="314" t="e">
        <f t="shared" si="20"/>
        <v>#NUM!</v>
      </c>
      <c r="N16" s="305" t="e">
        <f t="shared" si="21"/>
        <v>#NUM!</v>
      </c>
      <c r="O16" s="327" t="e">
        <f t="shared" si="12"/>
        <v>#NUM!</v>
      </c>
      <c r="P16" s="305"/>
      <c r="Q16" s="303">
        <f t="shared" si="6"/>
        <v>1</v>
      </c>
      <c r="R16" s="304">
        <f t="shared" si="15"/>
        <v>91</v>
      </c>
      <c r="S16" s="305">
        <f t="shared" si="22"/>
        <v>91</v>
      </c>
      <c r="T16" s="305">
        <f t="shared" si="23"/>
        <v>9</v>
      </c>
      <c r="U16" s="305">
        <f t="shared" si="24"/>
        <v>14</v>
      </c>
      <c r="V16" s="305">
        <f t="shared" si="25"/>
        <v>106</v>
      </c>
      <c r="W16" s="314" t="e">
        <f t="shared" si="26"/>
        <v>#NUM!</v>
      </c>
      <c r="X16" s="314" t="e">
        <f t="shared" si="27"/>
        <v>#NUM!</v>
      </c>
      <c r="Y16" s="326" t="str">
        <f t="shared" si="13"/>
        <v/>
      </c>
    </row>
    <row r="17" spans="2:25" x14ac:dyDescent="0.25">
      <c r="B17" s="301" t="s">
        <v>125</v>
      </c>
      <c r="C17" s="323" t="e">
        <f>$C$30/(FACT(B5)*FACT(C5)*FACT(B6)*FACT(C6))</f>
        <v>#NUM!</v>
      </c>
      <c r="G17" s="303">
        <f t="shared" si="0"/>
        <v>1</v>
      </c>
      <c r="H17" s="304">
        <f t="shared" si="14"/>
        <v>10</v>
      </c>
      <c r="I17" s="305">
        <f t="shared" si="16"/>
        <v>10</v>
      </c>
      <c r="J17" s="305">
        <f t="shared" si="17"/>
        <v>90</v>
      </c>
      <c r="K17" s="305">
        <f t="shared" si="18"/>
        <v>95</v>
      </c>
      <c r="L17" s="305">
        <f t="shared" si="19"/>
        <v>25</v>
      </c>
      <c r="M17" s="314" t="e">
        <f t="shared" si="20"/>
        <v>#NUM!</v>
      </c>
      <c r="N17" s="305" t="e">
        <f t="shared" si="21"/>
        <v>#NUM!</v>
      </c>
      <c r="O17" s="327" t="e">
        <f t="shared" si="12"/>
        <v>#NUM!</v>
      </c>
      <c r="P17" s="305"/>
      <c r="Q17" s="303">
        <f t="shared" si="6"/>
        <v>1</v>
      </c>
      <c r="R17" s="304">
        <f t="shared" si="15"/>
        <v>90</v>
      </c>
      <c r="S17" s="305">
        <f t="shared" si="22"/>
        <v>90</v>
      </c>
      <c r="T17" s="305">
        <f t="shared" si="23"/>
        <v>10</v>
      </c>
      <c r="U17" s="305">
        <f t="shared" si="24"/>
        <v>15</v>
      </c>
      <c r="V17" s="305">
        <f t="shared" si="25"/>
        <v>105</v>
      </c>
      <c r="W17" s="314" t="e">
        <f t="shared" si="26"/>
        <v>#NUM!</v>
      </c>
      <c r="X17" s="314" t="e">
        <f t="shared" si="27"/>
        <v>#NUM!</v>
      </c>
      <c r="Y17" s="326" t="str">
        <f t="shared" si="13"/>
        <v/>
      </c>
    </row>
    <row r="18" spans="2:25" x14ac:dyDescent="0.25">
      <c r="G18" s="303">
        <f t="shared" si="0"/>
        <v>1</v>
      </c>
      <c r="H18" s="304">
        <f t="shared" si="14"/>
        <v>11</v>
      </c>
      <c r="I18" s="305">
        <f t="shared" si="16"/>
        <v>11</v>
      </c>
      <c r="J18" s="305">
        <f t="shared" si="17"/>
        <v>89</v>
      </c>
      <c r="K18" s="305">
        <f t="shared" si="18"/>
        <v>94</v>
      </c>
      <c r="L18" s="305">
        <f t="shared" si="19"/>
        <v>26</v>
      </c>
      <c r="M18" s="314" t="e">
        <f t="shared" si="20"/>
        <v>#NUM!</v>
      </c>
      <c r="N18" s="305" t="e">
        <f t="shared" si="21"/>
        <v>#NUM!</v>
      </c>
      <c r="O18" s="327" t="e">
        <f t="shared" si="12"/>
        <v>#NUM!</v>
      </c>
      <c r="P18" s="305"/>
      <c r="Q18" s="303">
        <f t="shared" si="6"/>
        <v>1</v>
      </c>
      <c r="R18" s="304">
        <f t="shared" si="15"/>
        <v>89</v>
      </c>
      <c r="S18" s="305">
        <f t="shared" si="22"/>
        <v>89</v>
      </c>
      <c r="T18" s="305">
        <f t="shared" si="23"/>
        <v>11</v>
      </c>
      <c r="U18" s="305">
        <f t="shared" si="24"/>
        <v>16</v>
      </c>
      <c r="V18" s="305">
        <f t="shared" si="25"/>
        <v>104</v>
      </c>
      <c r="W18" s="314" t="e">
        <f t="shared" si="26"/>
        <v>#NUM!</v>
      </c>
      <c r="X18" s="314" t="e">
        <f t="shared" si="27"/>
        <v>#NUM!</v>
      </c>
      <c r="Y18" s="326" t="str">
        <f t="shared" si="13"/>
        <v/>
      </c>
    </row>
    <row r="19" spans="2:25" x14ac:dyDescent="0.25">
      <c r="B19" s="301" t="s">
        <v>136</v>
      </c>
      <c r="G19" s="303">
        <f t="shared" si="0"/>
        <v>1</v>
      </c>
      <c r="H19" s="304">
        <f t="shared" si="14"/>
        <v>12</v>
      </c>
      <c r="I19" s="305">
        <f t="shared" si="16"/>
        <v>12</v>
      </c>
      <c r="J19" s="305">
        <f t="shared" si="17"/>
        <v>88</v>
      </c>
      <c r="K19" s="305">
        <f t="shared" si="18"/>
        <v>93</v>
      </c>
      <c r="L19" s="305">
        <f t="shared" si="19"/>
        <v>27</v>
      </c>
      <c r="M19" s="314" t="e">
        <f t="shared" si="20"/>
        <v>#NUM!</v>
      </c>
      <c r="N19" s="305" t="e">
        <f t="shared" si="21"/>
        <v>#NUM!</v>
      </c>
      <c r="O19" s="327" t="e">
        <f t="shared" si="12"/>
        <v>#NUM!</v>
      </c>
      <c r="P19" s="305"/>
      <c r="Q19" s="303">
        <f t="shared" si="6"/>
        <v>1</v>
      </c>
      <c r="R19" s="304">
        <f t="shared" si="15"/>
        <v>88</v>
      </c>
      <c r="S19" s="305">
        <f t="shared" si="22"/>
        <v>88</v>
      </c>
      <c r="T19" s="305">
        <f t="shared" si="23"/>
        <v>12</v>
      </c>
      <c r="U19" s="305">
        <f t="shared" si="24"/>
        <v>17</v>
      </c>
      <c r="V19" s="305">
        <f t="shared" si="25"/>
        <v>103</v>
      </c>
      <c r="W19" s="314" t="e">
        <f t="shared" si="26"/>
        <v>#NUM!</v>
      </c>
      <c r="X19" s="314" t="e">
        <f t="shared" si="27"/>
        <v>#NUM!</v>
      </c>
      <c r="Y19" s="326" t="str">
        <f t="shared" si="13"/>
        <v/>
      </c>
    </row>
    <row r="20" spans="2:25" x14ac:dyDescent="0.25">
      <c r="B20" s="301" t="s">
        <v>134</v>
      </c>
      <c r="C20" s="319" t="e">
        <f>N6</f>
        <v>#NUM!</v>
      </c>
      <c r="D20" s="301" t="s">
        <v>154</v>
      </c>
      <c r="G20" s="303">
        <f t="shared" si="0"/>
        <v>1</v>
      </c>
      <c r="H20" s="304">
        <f t="shared" si="14"/>
        <v>13</v>
      </c>
      <c r="I20" s="305">
        <f t="shared" si="16"/>
        <v>13</v>
      </c>
      <c r="J20" s="305">
        <f t="shared" si="17"/>
        <v>87</v>
      </c>
      <c r="K20" s="305">
        <f t="shared" si="18"/>
        <v>92</v>
      </c>
      <c r="L20" s="305">
        <f t="shared" si="19"/>
        <v>28</v>
      </c>
      <c r="M20" s="314" t="e">
        <f t="shared" si="20"/>
        <v>#NUM!</v>
      </c>
      <c r="N20" s="305" t="e">
        <f t="shared" si="21"/>
        <v>#NUM!</v>
      </c>
      <c r="O20" s="327" t="e">
        <f t="shared" si="12"/>
        <v>#NUM!</v>
      </c>
      <c r="P20" s="305"/>
      <c r="Q20" s="303">
        <f t="shared" si="6"/>
        <v>1</v>
      </c>
      <c r="R20" s="304">
        <f t="shared" si="15"/>
        <v>87</v>
      </c>
      <c r="S20" s="305">
        <f t="shared" si="22"/>
        <v>87</v>
      </c>
      <c r="T20" s="305">
        <f t="shared" si="23"/>
        <v>13</v>
      </c>
      <c r="U20" s="305">
        <f t="shared" si="24"/>
        <v>18</v>
      </c>
      <c r="V20" s="305">
        <f t="shared" si="25"/>
        <v>102</v>
      </c>
      <c r="W20" s="314" t="e">
        <f t="shared" si="26"/>
        <v>#NUM!</v>
      </c>
      <c r="X20" s="314" t="e">
        <f t="shared" si="27"/>
        <v>#NUM!</v>
      </c>
      <c r="Y20" s="326" t="str">
        <f t="shared" si="13"/>
        <v/>
      </c>
    </row>
    <row r="21" spans="2:25" x14ac:dyDescent="0.25">
      <c r="B21" s="301" t="s">
        <v>135</v>
      </c>
      <c r="C21" s="319" t="e">
        <f>X6</f>
        <v>#NUM!</v>
      </c>
      <c r="D21" s="301" t="s">
        <v>153</v>
      </c>
      <c r="G21" s="303">
        <f t="shared" si="0"/>
        <v>1</v>
      </c>
      <c r="H21" s="304">
        <f t="shared" si="14"/>
        <v>14</v>
      </c>
      <c r="I21" s="305">
        <f t="shared" si="16"/>
        <v>14</v>
      </c>
      <c r="J21" s="305">
        <f t="shared" si="17"/>
        <v>86</v>
      </c>
      <c r="K21" s="305">
        <f t="shared" si="18"/>
        <v>91</v>
      </c>
      <c r="L21" s="305">
        <f t="shared" si="19"/>
        <v>29</v>
      </c>
      <c r="M21" s="314" t="e">
        <f t="shared" si="20"/>
        <v>#NUM!</v>
      </c>
      <c r="N21" s="305" t="e">
        <f t="shared" si="21"/>
        <v>#NUM!</v>
      </c>
      <c r="O21" s="327" t="e">
        <f t="shared" si="12"/>
        <v>#NUM!</v>
      </c>
      <c r="P21" s="305"/>
      <c r="Q21" s="303">
        <f t="shared" si="6"/>
        <v>1</v>
      </c>
      <c r="R21" s="304">
        <f t="shared" si="15"/>
        <v>86</v>
      </c>
      <c r="S21" s="305">
        <f t="shared" si="22"/>
        <v>86</v>
      </c>
      <c r="T21" s="305">
        <f t="shared" si="23"/>
        <v>14</v>
      </c>
      <c r="U21" s="305">
        <f t="shared" si="24"/>
        <v>19</v>
      </c>
      <c r="V21" s="305">
        <f t="shared" si="25"/>
        <v>101</v>
      </c>
      <c r="W21" s="314" t="e">
        <f t="shared" si="26"/>
        <v>#NUM!</v>
      </c>
      <c r="X21" s="314" t="e">
        <f t="shared" si="27"/>
        <v>#NUM!</v>
      </c>
      <c r="Y21" s="326" t="str">
        <f t="shared" si="13"/>
        <v/>
      </c>
    </row>
    <row r="22" spans="2:25" x14ac:dyDescent="0.25">
      <c r="G22" s="303">
        <f t="shared" si="0"/>
        <v>1</v>
      </c>
      <c r="H22" s="304">
        <f t="shared" si="14"/>
        <v>15</v>
      </c>
      <c r="I22" s="305">
        <f t="shared" si="16"/>
        <v>15</v>
      </c>
      <c r="J22" s="305">
        <f t="shared" si="17"/>
        <v>85</v>
      </c>
      <c r="K22" s="305">
        <f t="shared" si="18"/>
        <v>90</v>
      </c>
      <c r="L22" s="305">
        <f t="shared" si="19"/>
        <v>30</v>
      </c>
      <c r="M22" s="314" t="e">
        <f t="shared" si="20"/>
        <v>#NUM!</v>
      </c>
      <c r="N22" s="305" t="e">
        <f t="shared" si="21"/>
        <v>#NUM!</v>
      </c>
      <c r="O22" s="327" t="e">
        <f t="shared" si="12"/>
        <v>#NUM!</v>
      </c>
      <c r="P22" s="305"/>
      <c r="Q22" s="303">
        <f t="shared" si="6"/>
        <v>1</v>
      </c>
      <c r="R22" s="304">
        <f t="shared" si="15"/>
        <v>85</v>
      </c>
      <c r="S22" s="305">
        <f t="shared" si="22"/>
        <v>85</v>
      </c>
      <c r="T22" s="305">
        <f t="shared" si="23"/>
        <v>15</v>
      </c>
      <c r="U22" s="305">
        <f t="shared" si="24"/>
        <v>20</v>
      </c>
      <c r="V22" s="305">
        <f t="shared" si="25"/>
        <v>100</v>
      </c>
      <c r="W22" s="314" t="e">
        <f t="shared" si="26"/>
        <v>#NUM!</v>
      </c>
      <c r="X22" s="314" t="e">
        <f t="shared" si="27"/>
        <v>#NUM!</v>
      </c>
      <c r="Y22" s="326" t="str">
        <f t="shared" si="13"/>
        <v/>
      </c>
    </row>
    <row r="23" spans="2:25" x14ac:dyDescent="0.25">
      <c r="B23" s="301" t="s">
        <v>140</v>
      </c>
      <c r="G23" s="303">
        <f t="shared" si="0"/>
        <v>1</v>
      </c>
      <c r="H23" s="304">
        <f t="shared" si="14"/>
        <v>16</v>
      </c>
      <c r="I23" s="305">
        <f t="shared" si="16"/>
        <v>16</v>
      </c>
      <c r="J23" s="305">
        <f t="shared" si="17"/>
        <v>84</v>
      </c>
      <c r="K23" s="305">
        <f t="shared" si="18"/>
        <v>89</v>
      </c>
      <c r="L23" s="305">
        <f t="shared" si="19"/>
        <v>31</v>
      </c>
      <c r="M23" s="314" t="e">
        <f t="shared" si="20"/>
        <v>#NUM!</v>
      </c>
      <c r="N23" s="305" t="e">
        <f t="shared" si="21"/>
        <v>#NUM!</v>
      </c>
      <c r="O23" s="327" t="e">
        <f t="shared" si="12"/>
        <v>#NUM!</v>
      </c>
      <c r="P23" s="305"/>
      <c r="Q23" s="303">
        <f t="shared" si="6"/>
        <v>1</v>
      </c>
      <c r="R23" s="304">
        <f t="shared" si="15"/>
        <v>84</v>
      </c>
      <c r="S23" s="305">
        <f t="shared" si="22"/>
        <v>84</v>
      </c>
      <c r="T23" s="305">
        <f t="shared" si="23"/>
        <v>16</v>
      </c>
      <c r="U23" s="305">
        <f t="shared" si="24"/>
        <v>21</v>
      </c>
      <c r="V23" s="305">
        <f t="shared" si="25"/>
        <v>99</v>
      </c>
      <c r="W23" s="314" t="e">
        <f t="shared" si="26"/>
        <v>#NUM!</v>
      </c>
      <c r="X23" s="314" t="e">
        <f t="shared" si="27"/>
        <v>#NUM!</v>
      </c>
      <c r="Y23" s="326" t="str">
        <f t="shared" si="13"/>
        <v/>
      </c>
    </row>
    <row r="24" spans="2:25" x14ac:dyDescent="0.25">
      <c r="C24" s="305" t="str">
        <f>"P1 ("&amp;D21&amp;")"</f>
        <v>P1 (p1&gt;p2)</v>
      </c>
      <c r="D24" s="305" t="str">
        <f>"P1 ("&amp;D20&amp;")"</f>
        <v>P1 (p1&lt;p2)</v>
      </c>
      <c r="E24" s="305" t="s">
        <v>155</v>
      </c>
      <c r="G24" s="303">
        <f t="shared" si="0"/>
        <v>1</v>
      </c>
      <c r="H24" s="304">
        <f t="shared" si="14"/>
        <v>17</v>
      </c>
      <c r="I24" s="305">
        <f t="shared" si="16"/>
        <v>17</v>
      </c>
      <c r="J24" s="305">
        <f t="shared" si="17"/>
        <v>83</v>
      </c>
      <c r="K24" s="305">
        <f t="shared" si="18"/>
        <v>88</v>
      </c>
      <c r="L24" s="305">
        <f t="shared" si="19"/>
        <v>32</v>
      </c>
      <c r="M24" s="314" t="e">
        <f t="shared" si="20"/>
        <v>#NUM!</v>
      </c>
      <c r="N24" s="305" t="e">
        <f t="shared" si="21"/>
        <v>#NUM!</v>
      </c>
      <c r="O24" s="327" t="e">
        <f t="shared" si="12"/>
        <v>#NUM!</v>
      </c>
      <c r="P24" s="305"/>
      <c r="Q24" s="303">
        <f t="shared" si="6"/>
        <v>1</v>
      </c>
      <c r="R24" s="304">
        <f t="shared" si="15"/>
        <v>83</v>
      </c>
      <c r="S24" s="305">
        <f t="shared" si="22"/>
        <v>83</v>
      </c>
      <c r="T24" s="305">
        <f t="shared" si="23"/>
        <v>17</v>
      </c>
      <c r="U24" s="305">
        <f t="shared" si="24"/>
        <v>22</v>
      </c>
      <c r="V24" s="305">
        <f t="shared" si="25"/>
        <v>98</v>
      </c>
      <c r="W24" s="314" t="e">
        <f t="shared" si="26"/>
        <v>#NUM!</v>
      </c>
      <c r="X24" s="314" t="e">
        <f t="shared" si="27"/>
        <v>#NUM!</v>
      </c>
      <c r="Y24" s="326" t="str">
        <f t="shared" si="13"/>
        <v/>
      </c>
    </row>
    <row r="25" spans="2:25" x14ac:dyDescent="0.25">
      <c r="C25" s="330" t="str">
        <f>IF(ISERROR(C30),"-",IF(C15=1,C21,C20))</f>
        <v>-</v>
      </c>
      <c r="D25" s="319" t="e">
        <f>C20</f>
        <v>#NUM!</v>
      </c>
      <c r="E25" s="330" t="str">
        <f>IF(ISERROR(C30),"-",IF(C15=1,C21+O6,C20+Y6))</f>
        <v>-</v>
      </c>
      <c r="G25" s="303">
        <f t="shared" si="0"/>
        <v>1</v>
      </c>
      <c r="H25" s="304">
        <f t="shared" si="14"/>
        <v>18</v>
      </c>
      <c r="I25" s="305">
        <f t="shared" si="16"/>
        <v>18</v>
      </c>
      <c r="J25" s="305">
        <f t="shared" si="17"/>
        <v>82</v>
      </c>
      <c r="K25" s="305">
        <f t="shared" si="18"/>
        <v>87</v>
      </c>
      <c r="L25" s="305">
        <f t="shared" si="19"/>
        <v>33</v>
      </c>
      <c r="M25" s="314" t="e">
        <f t="shared" si="20"/>
        <v>#NUM!</v>
      </c>
      <c r="N25" s="305" t="e">
        <f t="shared" si="21"/>
        <v>#NUM!</v>
      </c>
      <c r="O25" s="327" t="e">
        <f t="shared" si="12"/>
        <v>#NUM!</v>
      </c>
      <c r="P25" s="305"/>
      <c r="Q25" s="303">
        <f t="shared" si="6"/>
        <v>1</v>
      </c>
      <c r="R25" s="304">
        <f t="shared" si="15"/>
        <v>82</v>
      </c>
      <c r="S25" s="305">
        <f t="shared" si="22"/>
        <v>82</v>
      </c>
      <c r="T25" s="305">
        <f t="shared" si="23"/>
        <v>18</v>
      </c>
      <c r="U25" s="305">
        <f t="shared" si="24"/>
        <v>23</v>
      </c>
      <c r="V25" s="305">
        <f t="shared" si="25"/>
        <v>97</v>
      </c>
      <c r="W25" s="314" t="e">
        <f t="shared" si="26"/>
        <v>#NUM!</v>
      </c>
      <c r="X25" s="314" t="e">
        <f t="shared" si="27"/>
        <v>#NUM!</v>
      </c>
      <c r="Y25" s="326" t="str">
        <f t="shared" si="13"/>
        <v/>
      </c>
    </row>
    <row r="26" spans="2:25" x14ac:dyDescent="0.25">
      <c r="C26" s="301" t="s">
        <v>144</v>
      </c>
      <c r="G26" s="303">
        <f t="shared" si="0"/>
        <v>1</v>
      </c>
      <c r="H26" s="304">
        <f t="shared" si="14"/>
        <v>19</v>
      </c>
      <c r="I26" s="305">
        <f t="shared" si="16"/>
        <v>19</v>
      </c>
      <c r="J26" s="305">
        <f t="shared" si="17"/>
        <v>81</v>
      </c>
      <c r="K26" s="305">
        <f t="shared" si="18"/>
        <v>86</v>
      </c>
      <c r="L26" s="305">
        <f t="shared" si="19"/>
        <v>34</v>
      </c>
      <c r="M26" s="314" t="e">
        <f t="shared" si="20"/>
        <v>#NUM!</v>
      </c>
      <c r="N26" s="305" t="e">
        <f t="shared" si="21"/>
        <v>#NUM!</v>
      </c>
      <c r="O26" s="327" t="e">
        <f t="shared" si="12"/>
        <v>#NUM!</v>
      </c>
      <c r="P26" s="305"/>
      <c r="Q26" s="303">
        <f t="shared" si="6"/>
        <v>1</v>
      </c>
      <c r="R26" s="304">
        <f t="shared" si="15"/>
        <v>81</v>
      </c>
      <c r="S26" s="305">
        <f t="shared" si="22"/>
        <v>81</v>
      </c>
      <c r="T26" s="305">
        <f t="shared" si="23"/>
        <v>19</v>
      </c>
      <c r="U26" s="305">
        <f t="shared" si="24"/>
        <v>24</v>
      </c>
      <c r="V26" s="305">
        <f t="shared" si="25"/>
        <v>96</v>
      </c>
      <c r="W26" s="314" t="e">
        <f t="shared" si="26"/>
        <v>#NUM!</v>
      </c>
      <c r="X26" s="314" t="e">
        <f t="shared" si="27"/>
        <v>#NUM!</v>
      </c>
      <c r="Y26" s="326" t="str">
        <f t="shared" si="13"/>
        <v/>
      </c>
    </row>
    <row r="27" spans="2:25" x14ac:dyDescent="0.25">
      <c r="G27" s="303">
        <f t="shared" si="0"/>
        <v>1</v>
      </c>
      <c r="H27" s="304">
        <f t="shared" si="14"/>
        <v>20</v>
      </c>
      <c r="I27" s="305">
        <f t="shared" si="16"/>
        <v>20</v>
      </c>
      <c r="J27" s="305">
        <f t="shared" si="17"/>
        <v>80</v>
      </c>
      <c r="K27" s="305">
        <f t="shared" si="18"/>
        <v>85</v>
      </c>
      <c r="L27" s="305">
        <f t="shared" si="19"/>
        <v>35</v>
      </c>
      <c r="M27" s="314" t="e">
        <f t="shared" si="20"/>
        <v>#NUM!</v>
      </c>
      <c r="N27" s="305" t="e">
        <f t="shared" si="21"/>
        <v>#NUM!</v>
      </c>
      <c r="O27" s="327" t="e">
        <f t="shared" si="12"/>
        <v>#NUM!</v>
      </c>
      <c r="P27" s="305"/>
      <c r="Q27" s="303">
        <f t="shared" si="6"/>
        <v>1</v>
      </c>
      <c r="R27" s="304">
        <f t="shared" si="15"/>
        <v>80</v>
      </c>
      <c r="S27" s="305">
        <f t="shared" si="22"/>
        <v>80</v>
      </c>
      <c r="T27" s="305">
        <f t="shared" si="23"/>
        <v>20</v>
      </c>
      <c r="U27" s="305">
        <f t="shared" si="24"/>
        <v>25</v>
      </c>
      <c r="V27" s="305">
        <f t="shared" si="25"/>
        <v>95</v>
      </c>
      <c r="W27" s="314" t="e">
        <f t="shared" si="26"/>
        <v>#NUM!</v>
      </c>
      <c r="X27" s="314" t="e">
        <f t="shared" si="27"/>
        <v>#NUM!</v>
      </c>
      <c r="Y27" s="326" t="str">
        <f t="shared" si="13"/>
        <v/>
      </c>
    </row>
    <row r="28" spans="2:25" x14ac:dyDescent="0.25">
      <c r="G28" s="303">
        <f t="shared" si="0"/>
        <v>1</v>
      </c>
      <c r="H28" s="304">
        <f t="shared" si="14"/>
        <v>21</v>
      </c>
      <c r="I28" s="305">
        <f t="shared" si="16"/>
        <v>21</v>
      </c>
      <c r="J28" s="305">
        <f t="shared" si="17"/>
        <v>79</v>
      </c>
      <c r="K28" s="305">
        <f t="shared" si="18"/>
        <v>84</v>
      </c>
      <c r="L28" s="305">
        <f t="shared" si="19"/>
        <v>36</v>
      </c>
      <c r="M28" s="314" t="e">
        <f t="shared" si="20"/>
        <v>#NUM!</v>
      </c>
      <c r="N28" s="305" t="e">
        <f t="shared" si="21"/>
        <v>#NUM!</v>
      </c>
      <c r="O28" s="327" t="e">
        <f t="shared" si="12"/>
        <v>#NUM!</v>
      </c>
      <c r="P28" s="305"/>
      <c r="Q28" s="303">
        <f t="shared" si="6"/>
        <v>1</v>
      </c>
      <c r="R28" s="304">
        <f t="shared" si="15"/>
        <v>79</v>
      </c>
      <c r="S28" s="305">
        <f t="shared" si="22"/>
        <v>79</v>
      </c>
      <c r="T28" s="305">
        <f t="shared" si="23"/>
        <v>21</v>
      </c>
      <c r="U28" s="305">
        <f t="shared" si="24"/>
        <v>26</v>
      </c>
      <c r="V28" s="305">
        <f t="shared" si="25"/>
        <v>94</v>
      </c>
      <c r="W28" s="314" t="e">
        <f t="shared" si="26"/>
        <v>#NUM!</v>
      </c>
      <c r="X28" s="314" t="e">
        <f t="shared" si="27"/>
        <v>#NUM!</v>
      </c>
      <c r="Y28" s="326" t="str">
        <f t="shared" si="13"/>
        <v/>
      </c>
    </row>
    <row r="29" spans="2:25" x14ac:dyDescent="0.25">
      <c r="C29" s="1366" t="e">
        <f>FACT(D7)</f>
        <v>#NUM!</v>
      </c>
      <c r="D29" s="1366"/>
      <c r="E29" s="1366"/>
      <c r="G29" s="303">
        <f t="shared" si="0"/>
        <v>1</v>
      </c>
      <c r="H29" s="304">
        <f t="shared" si="14"/>
        <v>22</v>
      </c>
      <c r="I29" s="305">
        <f t="shared" si="16"/>
        <v>22</v>
      </c>
      <c r="J29" s="305">
        <f t="shared" si="17"/>
        <v>78</v>
      </c>
      <c r="K29" s="305">
        <f t="shared" si="18"/>
        <v>83</v>
      </c>
      <c r="L29" s="305">
        <f t="shared" si="19"/>
        <v>37</v>
      </c>
      <c r="M29" s="314" t="e">
        <f t="shared" si="20"/>
        <v>#NUM!</v>
      </c>
      <c r="N29" s="305" t="e">
        <f t="shared" si="21"/>
        <v>#NUM!</v>
      </c>
      <c r="O29" s="327" t="e">
        <f t="shared" si="12"/>
        <v>#NUM!</v>
      </c>
      <c r="P29" s="305"/>
      <c r="Q29" s="303">
        <f t="shared" si="6"/>
        <v>1</v>
      </c>
      <c r="R29" s="304">
        <f t="shared" si="15"/>
        <v>78</v>
      </c>
      <c r="S29" s="305">
        <f t="shared" si="22"/>
        <v>78</v>
      </c>
      <c r="T29" s="305">
        <f t="shared" si="23"/>
        <v>22</v>
      </c>
      <c r="U29" s="305">
        <f t="shared" si="24"/>
        <v>27</v>
      </c>
      <c r="V29" s="305">
        <f t="shared" si="25"/>
        <v>93</v>
      </c>
      <c r="W29" s="314" t="e">
        <f t="shared" si="26"/>
        <v>#NUM!</v>
      </c>
      <c r="X29" s="314" t="e">
        <f t="shared" si="27"/>
        <v>#NUM!</v>
      </c>
      <c r="Y29" s="326" t="str">
        <f t="shared" si="13"/>
        <v/>
      </c>
    </row>
    <row r="30" spans="2:25" x14ac:dyDescent="0.25">
      <c r="B30" s="318" t="s">
        <v>133</v>
      </c>
      <c r="C30" s="1366" t="e">
        <f>FACT(B7)*FACT(C7)*FACT(D5)*FACT(D6)/FACT(D7)</f>
        <v>#NUM!</v>
      </c>
      <c r="D30" s="1366"/>
      <c r="E30" s="1366"/>
      <c r="G30" s="303">
        <f t="shared" si="0"/>
        <v>1</v>
      </c>
      <c r="H30" s="304">
        <f t="shared" si="14"/>
        <v>23</v>
      </c>
      <c r="I30" s="305">
        <f t="shared" si="16"/>
        <v>23</v>
      </c>
      <c r="J30" s="305">
        <f t="shared" si="17"/>
        <v>77</v>
      </c>
      <c r="K30" s="305">
        <f t="shared" si="18"/>
        <v>82</v>
      </c>
      <c r="L30" s="305">
        <f t="shared" si="19"/>
        <v>38</v>
      </c>
      <c r="M30" s="314" t="e">
        <f t="shared" si="20"/>
        <v>#NUM!</v>
      </c>
      <c r="N30" s="305" t="e">
        <f t="shared" si="21"/>
        <v>#NUM!</v>
      </c>
      <c r="O30" s="327" t="e">
        <f t="shared" si="12"/>
        <v>#NUM!</v>
      </c>
      <c r="P30" s="305"/>
      <c r="Q30" s="303">
        <f t="shared" si="6"/>
        <v>1</v>
      </c>
      <c r="R30" s="304">
        <f t="shared" si="15"/>
        <v>77</v>
      </c>
      <c r="S30" s="305">
        <f t="shared" si="22"/>
        <v>77</v>
      </c>
      <c r="T30" s="305">
        <f t="shared" si="23"/>
        <v>23</v>
      </c>
      <c r="U30" s="305">
        <f t="shared" si="24"/>
        <v>28</v>
      </c>
      <c r="V30" s="305">
        <f t="shared" si="25"/>
        <v>92</v>
      </c>
      <c r="W30" s="314" t="e">
        <f t="shared" si="26"/>
        <v>#NUM!</v>
      </c>
      <c r="X30" s="314" t="e">
        <f t="shared" si="27"/>
        <v>#NUM!</v>
      </c>
      <c r="Y30" s="326" t="str">
        <f t="shared" si="13"/>
        <v/>
      </c>
    </row>
    <row r="31" spans="2:25" x14ac:dyDescent="0.25">
      <c r="G31" s="303">
        <f t="shared" si="0"/>
        <v>1</v>
      </c>
      <c r="H31" s="304">
        <f t="shared" si="14"/>
        <v>24</v>
      </c>
      <c r="I31" s="305">
        <f t="shared" si="16"/>
        <v>24</v>
      </c>
      <c r="J31" s="305">
        <f t="shared" si="17"/>
        <v>76</v>
      </c>
      <c r="K31" s="305">
        <f t="shared" si="18"/>
        <v>81</v>
      </c>
      <c r="L31" s="305">
        <f t="shared" si="19"/>
        <v>39</v>
      </c>
      <c r="M31" s="314" t="e">
        <f t="shared" si="20"/>
        <v>#NUM!</v>
      </c>
      <c r="N31" s="305" t="e">
        <f t="shared" si="21"/>
        <v>#NUM!</v>
      </c>
      <c r="O31" s="327" t="e">
        <f t="shared" si="12"/>
        <v>#NUM!</v>
      </c>
      <c r="P31" s="305"/>
      <c r="Q31" s="303">
        <f t="shared" si="6"/>
        <v>1</v>
      </c>
      <c r="R31" s="304">
        <f t="shared" si="15"/>
        <v>76</v>
      </c>
      <c r="S31" s="305">
        <f t="shared" si="22"/>
        <v>76</v>
      </c>
      <c r="T31" s="305">
        <f t="shared" si="23"/>
        <v>24</v>
      </c>
      <c r="U31" s="305">
        <f t="shared" si="24"/>
        <v>29</v>
      </c>
      <c r="V31" s="305">
        <f t="shared" si="25"/>
        <v>91</v>
      </c>
      <c r="W31" s="314" t="e">
        <f t="shared" si="26"/>
        <v>#NUM!</v>
      </c>
      <c r="X31" s="314" t="e">
        <f t="shared" si="27"/>
        <v>#NUM!</v>
      </c>
      <c r="Y31" s="326" t="str">
        <f t="shared" si="13"/>
        <v/>
      </c>
    </row>
    <row r="32" spans="2:25" x14ac:dyDescent="0.25">
      <c r="G32" s="303">
        <f t="shared" si="0"/>
        <v>1</v>
      </c>
      <c r="H32" s="304">
        <f t="shared" si="14"/>
        <v>25</v>
      </c>
      <c r="I32" s="305">
        <f t="shared" si="16"/>
        <v>25</v>
      </c>
      <c r="J32" s="305">
        <f t="shared" si="17"/>
        <v>75</v>
      </c>
      <c r="K32" s="305">
        <f t="shared" si="18"/>
        <v>80</v>
      </c>
      <c r="L32" s="305">
        <f t="shared" si="19"/>
        <v>40</v>
      </c>
      <c r="M32" s="314" t="e">
        <f t="shared" si="20"/>
        <v>#NUM!</v>
      </c>
      <c r="N32" s="305" t="e">
        <f t="shared" si="21"/>
        <v>#NUM!</v>
      </c>
      <c r="O32" s="327" t="e">
        <f t="shared" si="12"/>
        <v>#NUM!</v>
      </c>
      <c r="P32" s="305"/>
      <c r="Q32" s="303">
        <f t="shared" si="6"/>
        <v>1</v>
      </c>
      <c r="R32" s="304">
        <f t="shared" si="15"/>
        <v>75</v>
      </c>
      <c r="S32" s="305">
        <f t="shared" si="22"/>
        <v>75</v>
      </c>
      <c r="T32" s="305">
        <f t="shared" si="23"/>
        <v>25</v>
      </c>
      <c r="U32" s="305">
        <f t="shared" si="24"/>
        <v>30</v>
      </c>
      <c r="V32" s="305">
        <f t="shared" si="25"/>
        <v>90</v>
      </c>
      <c r="W32" s="314" t="e">
        <f t="shared" si="26"/>
        <v>#NUM!</v>
      </c>
      <c r="X32" s="314" t="e">
        <f t="shared" si="27"/>
        <v>#NUM!</v>
      </c>
      <c r="Y32" s="326" t="str">
        <f t="shared" si="13"/>
        <v/>
      </c>
    </row>
    <row r="33" spans="7:25" x14ac:dyDescent="0.25">
      <c r="G33" s="303">
        <f t="shared" si="0"/>
        <v>1</v>
      </c>
      <c r="H33" s="304">
        <f t="shared" si="14"/>
        <v>26</v>
      </c>
      <c r="I33" s="305">
        <f t="shared" si="16"/>
        <v>26</v>
      </c>
      <c r="J33" s="305">
        <f t="shared" si="17"/>
        <v>74</v>
      </c>
      <c r="K33" s="305">
        <f t="shared" si="18"/>
        <v>79</v>
      </c>
      <c r="L33" s="305">
        <f t="shared" si="19"/>
        <v>41</v>
      </c>
      <c r="M33" s="314" t="e">
        <f t="shared" si="20"/>
        <v>#NUM!</v>
      </c>
      <c r="N33" s="305" t="e">
        <f t="shared" si="21"/>
        <v>#NUM!</v>
      </c>
      <c r="O33" s="327" t="e">
        <f t="shared" si="12"/>
        <v>#NUM!</v>
      </c>
      <c r="P33" s="305"/>
      <c r="Q33" s="303">
        <f t="shared" si="6"/>
        <v>0</v>
      </c>
      <c r="R33" s="304">
        <f t="shared" si="15"/>
        <v>74</v>
      </c>
      <c r="S33" s="305" t="str">
        <f t="shared" si="22"/>
        <v/>
      </c>
      <c r="T33" s="305" t="str">
        <f t="shared" si="23"/>
        <v/>
      </c>
      <c r="U33" s="305" t="str">
        <f t="shared" si="24"/>
        <v/>
      </c>
      <c r="V33" s="305" t="str">
        <f t="shared" si="25"/>
        <v/>
      </c>
      <c r="W33" s="314" t="str">
        <f t="shared" si="26"/>
        <v/>
      </c>
      <c r="X33" s="314" t="str">
        <f t="shared" si="27"/>
        <v/>
      </c>
      <c r="Y33" s="326" t="str">
        <f t="shared" si="13"/>
        <v/>
      </c>
    </row>
    <row r="34" spans="7:25" x14ac:dyDescent="0.25">
      <c r="G34" s="303">
        <f t="shared" si="0"/>
        <v>1</v>
      </c>
      <c r="H34" s="304">
        <f t="shared" si="14"/>
        <v>27</v>
      </c>
      <c r="I34" s="305">
        <f t="shared" si="16"/>
        <v>27</v>
      </c>
      <c r="J34" s="305">
        <f t="shared" si="17"/>
        <v>73</v>
      </c>
      <c r="K34" s="305">
        <f t="shared" si="18"/>
        <v>78</v>
      </c>
      <c r="L34" s="305">
        <f t="shared" si="19"/>
        <v>42</v>
      </c>
      <c r="M34" s="314" t="e">
        <f t="shared" si="20"/>
        <v>#NUM!</v>
      </c>
      <c r="N34" s="305" t="e">
        <f t="shared" si="21"/>
        <v>#NUM!</v>
      </c>
      <c r="O34" s="327" t="e">
        <f t="shared" si="12"/>
        <v>#NUM!</v>
      </c>
      <c r="P34" s="305"/>
      <c r="Q34" s="303">
        <f t="shared" si="6"/>
        <v>0</v>
      </c>
      <c r="R34" s="304">
        <f t="shared" si="15"/>
        <v>73</v>
      </c>
      <c r="S34" s="305" t="str">
        <f t="shared" si="22"/>
        <v/>
      </c>
      <c r="T34" s="305" t="str">
        <f t="shared" si="23"/>
        <v/>
      </c>
      <c r="U34" s="305" t="str">
        <f t="shared" si="24"/>
        <v/>
      </c>
      <c r="V34" s="305" t="str">
        <f t="shared" si="25"/>
        <v/>
      </c>
      <c r="W34" s="314" t="str">
        <f t="shared" si="26"/>
        <v/>
      </c>
      <c r="X34" s="314" t="str">
        <f t="shared" si="27"/>
        <v/>
      </c>
      <c r="Y34" s="326" t="str">
        <f t="shared" si="13"/>
        <v/>
      </c>
    </row>
    <row r="35" spans="7:25" x14ac:dyDescent="0.25">
      <c r="G35" s="303">
        <f t="shared" si="0"/>
        <v>1</v>
      </c>
      <c r="H35" s="304">
        <f t="shared" si="14"/>
        <v>28</v>
      </c>
      <c r="I35" s="305">
        <f t="shared" si="16"/>
        <v>28</v>
      </c>
      <c r="J35" s="305">
        <f t="shared" si="17"/>
        <v>72</v>
      </c>
      <c r="K35" s="305">
        <f t="shared" si="18"/>
        <v>77</v>
      </c>
      <c r="L35" s="305">
        <f t="shared" si="19"/>
        <v>43</v>
      </c>
      <c r="M35" s="314" t="e">
        <f t="shared" si="20"/>
        <v>#NUM!</v>
      </c>
      <c r="N35" s="305" t="e">
        <f t="shared" si="21"/>
        <v>#NUM!</v>
      </c>
      <c r="O35" s="327" t="e">
        <f t="shared" si="12"/>
        <v>#NUM!</v>
      </c>
      <c r="P35" s="305"/>
      <c r="Q35" s="303">
        <f t="shared" si="6"/>
        <v>0</v>
      </c>
      <c r="R35" s="304">
        <f t="shared" si="15"/>
        <v>72</v>
      </c>
      <c r="S35" s="305" t="str">
        <f t="shared" si="22"/>
        <v/>
      </c>
      <c r="T35" s="305" t="str">
        <f t="shared" si="23"/>
        <v/>
      </c>
      <c r="U35" s="305" t="str">
        <f t="shared" si="24"/>
        <v/>
      </c>
      <c r="V35" s="305" t="str">
        <f t="shared" si="25"/>
        <v/>
      </c>
      <c r="W35" s="314" t="str">
        <f t="shared" si="26"/>
        <v/>
      </c>
      <c r="X35" s="314" t="str">
        <f t="shared" si="27"/>
        <v/>
      </c>
      <c r="Y35" s="326" t="str">
        <f t="shared" si="13"/>
        <v/>
      </c>
    </row>
    <row r="36" spans="7:25" x14ac:dyDescent="0.25">
      <c r="G36" s="303">
        <f t="shared" si="0"/>
        <v>1</v>
      </c>
      <c r="H36" s="304">
        <f t="shared" si="14"/>
        <v>29</v>
      </c>
      <c r="I36" s="305">
        <f t="shared" si="16"/>
        <v>29</v>
      </c>
      <c r="J36" s="305">
        <f t="shared" si="17"/>
        <v>71</v>
      </c>
      <c r="K36" s="305">
        <f t="shared" si="18"/>
        <v>76</v>
      </c>
      <c r="L36" s="305">
        <f t="shared" si="19"/>
        <v>44</v>
      </c>
      <c r="M36" s="314" t="e">
        <f t="shared" si="20"/>
        <v>#NUM!</v>
      </c>
      <c r="N36" s="305" t="e">
        <f t="shared" si="21"/>
        <v>#NUM!</v>
      </c>
      <c r="O36" s="327" t="e">
        <f t="shared" si="12"/>
        <v>#NUM!</v>
      </c>
      <c r="P36" s="305"/>
      <c r="Q36" s="303">
        <f t="shared" si="6"/>
        <v>0</v>
      </c>
      <c r="R36" s="304">
        <f t="shared" si="15"/>
        <v>71</v>
      </c>
      <c r="S36" s="305" t="str">
        <f t="shared" si="22"/>
        <v/>
      </c>
      <c r="T36" s="305" t="str">
        <f t="shared" si="23"/>
        <v/>
      </c>
      <c r="U36" s="305" t="str">
        <f t="shared" si="24"/>
        <v/>
      </c>
      <c r="V36" s="305" t="str">
        <f t="shared" si="25"/>
        <v/>
      </c>
      <c r="W36" s="314" t="str">
        <f t="shared" si="26"/>
        <v/>
      </c>
      <c r="X36" s="314" t="str">
        <f t="shared" si="27"/>
        <v/>
      </c>
      <c r="Y36" s="326" t="str">
        <f t="shared" si="13"/>
        <v/>
      </c>
    </row>
    <row r="37" spans="7:25" x14ac:dyDescent="0.25">
      <c r="G37" s="303">
        <f t="shared" si="0"/>
        <v>1</v>
      </c>
      <c r="H37" s="304">
        <f t="shared" si="14"/>
        <v>30</v>
      </c>
      <c r="I37" s="305">
        <f t="shared" si="16"/>
        <v>30</v>
      </c>
      <c r="J37" s="305">
        <f t="shared" si="17"/>
        <v>70</v>
      </c>
      <c r="K37" s="305">
        <f t="shared" si="18"/>
        <v>75</v>
      </c>
      <c r="L37" s="305">
        <f t="shared" si="19"/>
        <v>45</v>
      </c>
      <c r="M37" s="314" t="e">
        <f t="shared" si="20"/>
        <v>#NUM!</v>
      </c>
      <c r="N37" s="305" t="e">
        <f t="shared" si="21"/>
        <v>#NUM!</v>
      </c>
      <c r="O37" s="327" t="e">
        <f t="shared" si="12"/>
        <v>#NUM!</v>
      </c>
      <c r="P37" s="305"/>
      <c r="Q37" s="303">
        <f t="shared" si="6"/>
        <v>0</v>
      </c>
      <c r="R37" s="304">
        <f t="shared" si="15"/>
        <v>70</v>
      </c>
      <c r="S37" s="305" t="str">
        <f t="shared" si="22"/>
        <v/>
      </c>
      <c r="T37" s="305" t="str">
        <f t="shared" si="23"/>
        <v/>
      </c>
      <c r="U37" s="305" t="str">
        <f t="shared" si="24"/>
        <v/>
      </c>
      <c r="V37" s="305" t="str">
        <f t="shared" si="25"/>
        <v/>
      </c>
      <c r="W37" s="314" t="str">
        <f t="shared" si="26"/>
        <v/>
      </c>
      <c r="X37" s="314" t="str">
        <f t="shared" si="27"/>
        <v/>
      </c>
      <c r="Y37" s="326" t="str">
        <f t="shared" si="13"/>
        <v/>
      </c>
    </row>
    <row r="38" spans="7:25" x14ac:dyDescent="0.25">
      <c r="G38" s="303">
        <f t="shared" si="0"/>
        <v>1</v>
      </c>
      <c r="H38" s="304">
        <f t="shared" si="14"/>
        <v>31</v>
      </c>
      <c r="I38" s="305">
        <f t="shared" si="16"/>
        <v>31</v>
      </c>
      <c r="J38" s="305">
        <f t="shared" si="17"/>
        <v>69</v>
      </c>
      <c r="K38" s="305">
        <f t="shared" si="18"/>
        <v>74</v>
      </c>
      <c r="L38" s="305">
        <f t="shared" si="19"/>
        <v>46</v>
      </c>
      <c r="M38" s="314" t="e">
        <f t="shared" si="20"/>
        <v>#NUM!</v>
      </c>
      <c r="N38" s="305" t="e">
        <f t="shared" si="21"/>
        <v>#NUM!</v>
      </c>
      <c r="O38" s="327" t="e">
        <f t="shared" si="12"/>
        <v>#NUM!</v>
      </c>
      <c r="P38" s="305"/>
      <c r="Q38" s="303">
        <f t="shared" si="6"/>
        <v>0</v>
      </c>
      <c r="R38" s="304">
        <f t="shared" si="15"/>
        <v>69</v>
      </c>
      <c r="S38" s="305" t="str">
        <f t="shared" si="22"/>
        <v/>
      </c>
      <c r="T38" s="305" t="str">
        <f t="shared" si="23"/>
        <v/>
      </c>
      <c r="U38" s="305" t="str">
        <f t="shared" si="24"/>
        <v/>
      </c>
      <c r="V38" s="305" t="str">
        <f t="shared" si="25"/>
        <v/>
      </c>
      <c r="W38" s="314" t="str">
        <f t="shared" si="26"/>
        <v/>
      </c>
      <c r="X38" s="314" t="str">
        <f t="shared" si="27"/>
        <v/>
      </c>
      <c r="Y38" s="326" t="str">
        <f t="shared" si="13"/>
        <v/>
      </c>
    </row>
    <row r="39" spans="7:25" x14ac:dyDescent="0.25">
      <c r="G39" s="303">
        <f t="shared" si="0"/>
        <v>1</v>
      </c>
      <c r="H39" s="304">
        <f t="shared" si="14"/>
        <v>32</v>
      </c>
      <c r="I39" s="305">
        <f t="shared" si="16"/>
        <v>32</v>
      </c>
      <c r="J39" s="305">
        <f t="shared" si="17"/>
        <v>68</v>
      </c>
      <c r="K39" s="305">
        <f t="shared" si="18"/>
        <v>73</v>
      </c>
      <c r="L39" s="305">
        <f t="shared" si="19"/>
        <v>47</v>
      </c>
      <c r="M39" s="314" t="e">
        <f t="shared" si="20"/>
        <v>#NUM!</v>
      </c>
      <c r="N39" s="305" t="e">
        <f t="shared" si="21"/>
        <v>#NUM!</v>
      </c>
      <c r="O39" s="327" t="e">
        <f t="shared" si="12"/>
        <v>#NUM!</v>
      </c>
      <c r="P39" s="305"/>
      <c r="Q39" s="303">
        <f t="shared" si="6"/>
        <v>0</v>
      </c>
      <c r="R39" s="304">
        <f t="shared" si="15"/>
        <v>68</v>
      </c>
      <c r="S39" s="305" t="str">
        <f t="shared" si="22"/>
        <v/>
      </c>
      <c r="T39" s="305" t="str">
        <f t="shared" si="23"/>
        <v/>
      </c>
      <c r="U39" s="305" t="str">
        <f t="shared" si="24"/>
        <v/>
      </c>
      <c r="V39" s="305" t="str">
        <f t="shared" si="25"/>
        <v/>
      </c>
      <c r="W39" s="314" t="str">
        <f t="shared" si="26"/>
        <v/>
      </c>
      <c r="X39" s="314" t="str">
        <f t="shared" si="27"/>
        <v/>
      </c>
      <c r="Y39" s="326" t="str">
        <f t="shared" si="13"/>
        <v/>
      </c>
    </row>
    <row r="40" spans="7:25" x14ac:dyDescent="0.25">
      <c r="G40" s="303">
        <f t="shared" si="0"/>
        <v>1</v>
      </c>
      <c r="H40" s="304">
        <f t="shared" si="14"/>
        <v>33</v>
      </c>
      <c r="I40" s="305">
        <f t="shared" si="16"/>
        <v>33</v>
      </c>
      <c r="J40" s="305">
        <f t="shared" si="17"/>
        <v>67</v>
      </c>
      <c r="K40" s="305">
        <f t="shared" si="18"/>
        <v>72</v>
      </c>
      <c r="L40" s="305">
        <f t="shared" si="19"/>
        <v>48</v>
      </c>
      <c r="M40" s="314" t="e">
        <f t="shared" si="20"/>
        <v>#NUM!</v>
      </c>
      <c r="N40" s="305" t="e">
        <f t="shared" si="21"/>
        <v>#NUM!</v>
      </c>
      <c r="O40" s="327" t="e">
        <f t="shared" si="12"/>
        <v>#NUM!</v>
      </c>
      <c r="P40" s="305"/>
      <c r="Q40" s="303">
        <f t="shared" si="6"/>
        <v>0</v>
      </c>
      <c r="R40" s="304">
        <f t="shared" si="15"/>
        <v>67</v>
      </c>
      <c r="S40" s="305" t="str">
        <f t="shared" si="22"/>
        <v/>
      </c>
      <c r="T40" s="305" t="str">
        <f t="shared" si="23"/>
        <v/>
      </c>
      <c r="U40" s="305" t="str">
        <f t="shared" si="24"/>
        <v/>
      </c>
      <c r="V40" s="305" t="str">
        <f t="shared" si="25"/>
        <v/>
      </c>
      <c r="W40" s="314" t="str">
        <f t="shared" si="26"/>
        <v/>
      </c>
      <c r="X40" s="314" t="str">
        <f t="shared" si="27"/>
        <v/>
      </c>
      <c r="Y40" s="326" t="str">
        <f t="shared" si="13"/>
        <v/>
      </c>
    </row>
    <row r="41" spans="7:25" x14ac:dyDescent="0.25">
      <c r="G41" s="303">
        <f t="shared" si="0"/>
        <v>1</v>
      </c>
      <c r="H41" s="304">
        <f t="shared" si="14"/>
        <v>34</v>
      </c>
      <c r="I41" s="305">
        <f t="shared" si="16"/>
        <v>34</v>
      </c>
      <c r="J41" s="305">
        <f t="shared" si="17"/>
        <v>66</v>
      </c>
      <c r="K41" s="305">
        <f t="shared" si="18"/>
        <v>71</v>
      </c>
      <c r="L41" s="305">
        <f t="shared" si="19"/>
        <v>49</v>
      </c>
      <c r="M41" s="314" t="e">
        <f t="shared" si="20"/>
        <v>#NUM!</v>
      </c>
      <c r="N41" s="305" t="e">
        <f t="shared" si="21"/>
        <v>#NUM!</v>
      </c>
      <c r="O41" s="327" t="e">
        <f t="shared" si="12"/>
        <v>#NUM!</v>
      </c>
      <c r="P41" s="305"/>
      <c r="Q41" s="303">
        <f t="shared" si="6"/>
        <v>0</v>
      </c>
      <c r="R41" s="304">
        <f t="shared" si="15"/>
        <v>66</v>
      </c>
      <c r="S41" s="305" t="str">
        <f t="shared" si="22"/>
        <v/>
      </c>
      <c r="T41" s="305" t="str">
        <f t="shared" si="23"/>
        <v/>
      </c>
      <c r="U41" s="305" t="str">
        <f t="shared" si="24"/>
        <v/>
      </c>
      <c r="V41" s="305" t="str">
        <f t="shared" si="25"/>
        <v/>
      </c>
      <c r="W41" s="314" t="str">
        <f t="shared" si="26"/>
        <v/>
      </c>
      <c r="X41" s="314" t="str">
        <f t="shared" si="27"/>
        <v/>
      </c>
      <c r="Y41" s="326" t="str">
        <f t="shared" si="13"/>
        <v/>
      </c>
    </row>
    <row r="42" spans="7:25" x14ac:dyDescent="0.25">
      <c r="G42" s="303">
        <f t="shared" si="0"/>
        <v>1</v>
      </c>
      <c r="H42" s="304">
        <f t="shared" si="14"/>
        <v>35</v>
      </c>
      <c r="I42" s="305">
        <f t="shared" si="16"/>
        <v>35</v>
      </c>
      <c r="J42" s="305">
        <f t="shared" si="17"/>
        <v>65</v>
      </c>
      <c r="K42" s="305">
        <f t="shared" si="18"/>
        <v>70</v>
      </c>
      <c r="L42" s="305">
        <f t="shared" si="19"/>
        <v>50</v>
      </c>
      <c r="M42" s="314" t="e">
        <f t="shared" si="20"/>
        <v>#NUM!</v>
      </c>
      <c r="N42" s="305" t="e">
        <f t="shared" si="21"/>
        <v>#NUM!</v>
      </c>
      <c r="O42" s="327" t="e">
        <f t="shared" si="12"/>
        <v>#NUM!</v>
      </c>
      <c r="P42" s="305"/>
      <c r="Q42" s="303">
        <f t="shared" si="6"/>
        <v>0</v>
      </c>
      <c r="R42" s="304">
        <f t="shared" si="15"/>
        <v>65</v>
      </c>
      <c r="S42" s="305" t="str">
        <f t="shared" si="22"/>
        <v/>
      </c>
      <c r="T42" s="305" t="str">
        <f t="shared" si="23"/>
        <v/>
      </c>
      <c r="U42" s="305" t="str">
        <f t="shared" si="24"/>
        <v/>
      </c>
      <c r="V42" s="305" t="str">
        <f t="shared" si="25"/>
        <v/>
      </c>
      <c r="W42" s="314" t="str">
        <f t="shared" si="26"/>
        <v/>
      </c>
      <c r="X42" s="314" t="str">
        <f t="shared" si="27"/>
        <v/>
      </c>
      <c r="Y42" s="326" t="str">
        <f t="shared" si="13"/>
        <v/>
      </c>
    </row>
    <row r="43" spans="7:25" x14ac:dyDescent="0.25">
      <c r="G43" s="303">
        <f t="shared" si="0"/>
        <v>1</v>
      </c>
      <c r="H43" s="304">
        <f t="shared" si="14"/>
        <v>36</v>
      </c>
      <c r="I43" s="305">
        <f t="shared" si="16"/>
        <v>36</v>
      </c>
      <c r="J43" s="305">
        <f t="shared" si="17"/>
        <v>64</v>
      </c>
      <c r="K43" s="305">
        <f t="shared" si="18"/>
        <v>69</v>
      </c>
      <c r="L43" s="305">
        <f t="shared" si="19"/>
        <v>51</v>
      </c>
      <c r="M43" s="314" t="e">
        <f t="shared" si="20"/>
        <v>#NUM!</v>
      </c>
      <c r="N43" s="305" t="e">
        <f t="shared" si="21"/>
        <v>#NUM!</v>
      </c>
      <c r="O43" s="327" t="e">
        <f t="shared" si="12"/>
        <v>#NUM!</v>
      </c>
      <c r="P43" s="305"/>
      <c r="Q43" s="303">
        <f t="shared" si="6"/>
        <v>0</v>
      </c>
      <c r="R43" s="304">
        <f t="shared" si="15"/>
        <v>64</v>
      </c>
      <c r="S43" s="305" t="str">
        <f t="shared" si="22"/>
        <v/>
      </c>
      <c r="T43" s="305" t="str">
        <f t="shared" si="23"/>
        <v/>
      </c>
      <c r="U43" s="305" t="str">
        <f t="shared" si="24"/>
        <v/>
      </c>
      <c r="V43" s="305" t="str">
        <f t="shared" si="25"/>
        <v/>
      </c>
      <c r="W43" s="314" t="str">
        <f t="shared" si="26"/>
        <v/>
      </c>
      <c r="X43" s="314" t="str">
        <f t="shared" si="27"/>
        <v/>
      </c>
      <c r="Y43" s="326" t="str">
        <f t="shared" si="13"/>
        <v/>
      </c>
    </row>
    <row r="44" spans="7:25" x14ac:dyDescent="0.25">
      <c r="G44" s="303">
        <f t="shared" si="0"/>
        <v>1</v>
      </c>
      <c r="H44" s="304">
        <f t="shared" si="14"/>
        <v>37</v>
      </c>
      <c r="I44" s="305">
        <f t="shared" si="16"/>
        <v>37</v>
      </c>
      <c r="J44" s="305">
        <f t="shared" si="17"/>
        <v>63</v>
      </c>
      <c r="K44" s="305">
        <f t="shared" si="18"/>
        <v>68</v>
      </c>
      <c r="L44" s="305">
        <f t="shared" si="19"/>
        <v>52</v>
      </c>
      <c r="M44" s="314" t="e">
        <f t="shared" si="20"/>
        <v>#NUM!</v>
      </c>
      <c r="N44" s="305" t="e">
        <f t="shared" si="21"/>
        <v>#NUM!</v>
      </c>
      <c r="O44" s="327" t="e">
        <f t="shared" si="12"/>
        <v>#NUM!</v>
      </c>
      <c r="P44" s="305"/>
      <c r="Q44" s="303">
        <f t="shared" si="6"/>
        <v>0</v>
      </c>
      <c r="R44" s="304">
        <f t="shared" si="15"/>
        <v>63</v>
      </c>
      <c r="S44" s="305" t="str">
        <f t="shared" si="22"/>
        <v/>
      </c>
      <c r="T44" s="305" t="str">
        <f t="shared" si="23"/>
        <v/>
      </c>
      <c r="U44" s="305" t="str">
        <f t="shared" si="24"/>
        <v/>
      </c>
      <c r="V44" s="305" t="str">
        <f t="shared" si="25"/>
        <v/>
      </c>
      <c r="W44" s="314" t="str">
        <f t="shared" si="26"/>
        <v/>
      </c>
      <c r="X44" s="314" t="str">
        <f t="shared" si="27"/>
        <v/>
      </c>
      <c r="Y44" s="326" t="str">
        <f t="shared" si="13"/>
        <v/>
      </c>
    </row>
    <row r="45" spans="7:25" x14ac:dyDescent="0.25">
      <c r="G45" s="303">
        <f t="shared" si="0"/>
        <v>1</v>
      </c>
      <c r="H45" s="304">
        <f t="shared" si="14"/>
        <v>38</v>
      </c>
      <c r="I45" s="305">
        <f t="shared" si="16"/>
        <v>38</v>
      </c>
      <c r="J45" s="305">
        <f t="shared" si="17"/>
        <v>62</v>
      </c>
      <c r="K45" s="305">
        <f t="shared" si="18"/>
        <v>67</v>
      </c>
      <c r="L45" s="305">
        <f t="shared" si="19"/>
        <v>53</v>
      </c>
      <c r="M45" s="314" t="e">
        <f t="shared" si="20"/>
        <v>#NUM!</v>
      </c>
      <c r="N45" s="305" t="e">
        <f t="shared" si="21"/>
        <v>#NUM!</v>
      </c>
      <c r="O45" s="327" t="e">
        <f t="shared" si="12"/>
        <v>#NUM!</v>
      </c>
      <c r="P45" s="305"/>
      <c r="Q45" s="303">
        <f t="shared" si="6"/>
        <v>0</v>
      </c>
      <c r="R45" s="304">
        <f t="shared" si="15"/>
        <v>62</v>
      </c>
      <c r="S45" s="305" t="str">
        <f t="shared" si="22"/>
        <v/>
      </c>
      <c r="T45" s="305" t="str">
        <f t="shared" si="23"/>
        <v/>
      </c>
      <c r="U45" s="305" t="str">
        <f t="shared" si="24"/>
        <v/>
      </c>
      <c r="V45" s="305" t="str">
        <f t="shared" si="25"/>
        <v/>
      </c>
      <c r="W45" s="314" t="str">
        <f t="shared" si="26"/>
        <v/>
      </c>
      <c r="X45" s="314" t="str">
        <f t="shared" si="27"/>
        <v/>
      </c>
      <c r="Y45" s="326" t="str">
        <f t="shared" si="13"/>
        <v/>
      </c>
    </row>
    <row r="46" spans="7:25" x14ac:dyDescent="0.25">
      <c r="G46" s="303">
        <f t="shared" si="0"/>
        <v>1</v>
      </c>
      <c r="H46" s="304">
        <f t="shared" si="14"/>
        <v>39</v>
      </c>
      <c r="I46" s="305">
        <f t="shared" si="16"/>
        <v>39</v>
      </c>
      <c r="J46" s="305">
        <f t="shared" si="17"/>
        <v>61</v>
      </c>
      <c r="K46" s="305">
        <f t="shared" si="18"/>
        <v>66</v>
      </c>
      <c r="L46" s="305">
        <f t="shared" si="19"/>
        <v>54</v>
      </c>
      <c r="M46" s="314" t="e">
        <f t="shared" si="20"/>
        <v>#NUM!</v>
      </c>
      <c r="N46" s="305" t="e">
        <f t="shared" si="21"/>
        <v>#NUM!</v>
      </c>
      <c r="O46" s="327" t="e">
        <f t="shared" si="12"/>
        <v>#NUM!</v>
      </c>
      <c r="P46" s="305"/>
      <c r="Q46" s="303">
        <f t="shared" si="6"/>
        <v>0</v>
      </c>
      <c r="R46" s="304">
        <f t="shared" si="15"/>
        <v>61</v>
      </c>
      <c r="S46" s="305" t="str">
        <f t="shared" si="22"/>
        <v/>
      </c>
      <c r="T46" s="305" t="str">
        <f t="shared" si="23"/>
        <v/>
      </c>
      <c r="U46" s="305" t="str">
        <f t="shared" si="24"/>
        <v/>
      </c>
      <c r="V46" s="305" t="str">
        <f t="shared" si="25"/>
        <v/>
      </c>
      <c r="W46" s="314" t="str">
        <f t="shared" si="26"/>
        <v/>
      </c>
      <c r="X46" s="314" t="str">
        <f t="shared" si="27"/>
        <v/>
      </c>
      <c r="Y46" s="326" t="str">
        <f t="shared" si="13"/>
        <v/>
      </c>
    </row>
    <row r="47" spans="7:25" x14ac:dyDescent="0.25">
      <c r="G47" s="303">
        <f t="shared" si="0"/>
        <v>1</v>
      </c>
      <c r="H47" s="304">
        <f t="shared" si="14"/>
        <v>40</v>
      </c>
      <c r="I47" s="305">
        <f t="shared" si="16"/>
        <v>40</v>
      </c>
      <c r="J47" s="305">
        <f t="shared" si="17"/>
        <v>60</v>
      </c>
      <c r="K47" s="305">
        <f t="shared" si="18"/>
        <v>65</v>
      </c>
      <c r="L47" s="305">
        <f t="shared" si="19"/>
        <v>55</v>
      </c>
      <c r="M47" s="314" t="e">
        <f t="shared" si="20"/>
        <v>#NUM!</v>
      </c>
      <c r="N47" s="305" t="e">
        <f t="shared" si="21"/>
        <v>#NUM!</v>
      </c>
      <c r="O47" s="327" t="e">
        <f t="shared" si="12"/>
        <v>#NUM!</v>
      </c>
      <c r="P47" s="305"/>
      <c r="Q47" s="303">
        <f t="shared" si="6"/>
        <v>0</v>
      </c>
      <c r="R47" s="304">
        <f t="shared" si="15"/>
        <v>60</v>
      </c>
      <c r="S47" s="305" t="str">
        <f t="shared" si="22"/>
        <v/>
      </c>
      <c r="T47" s="305" t="str">
        <f t="shared" si="23"/>
        <v/>
      </c>
      <c r="U47" s="305" t="str">
        <f t="shared" si="24"/>
        <v/>
      </c>
      <c r="V47" s="305" t="str">
        <f t="shared" si="25"/>
        <v/>
      </c>
      <c r="W47" s="314" t="str">
        <f t="shared" si="26"/>
        <v/>
      </c>
      <c r="X47" s="314" t="str">
        <f t="shared" si="27"/>
        <v/>
      </c>
      <c r="Y47" s="326" t="str">
        <f t="shared" si="13"/>
        <v/>
      </c>
    </row>
    <row r="48" spans="7:25" x14ac:dyDescent="0.25">
      <c r="G48" s="303">
        <f t="shared" si="0"/>
        <v>1</v>
      </c>
      <c r="H48" s="304">
        <f t="shared" si="14"/>
        <v>41</v>
      </c>
      <c r="I48" s="305">
        <f t="shared" si="16"/>
        <v>41</v>
      </c>
      <c r="J48" s="305">
        <f t="shared" si="17"/>
        <v>59</v>
      </c>
      <c r="K48" s="305">
        <f t="shared" si="18"/>
        <v>64</v>
      </c>
      <c r="L48" s="305">
        <f t="shared" si="19"/>
        <v>56</v>
      </c>
      <c r="M48" s="314" t="e">
        <f t="shared" si="20"/>
        <v>#NUM!</v>
      </c>
      <c r="N48" s="305" t="e">
        <f t="shared" si="21"/>
        <v>#NUM!</v>
      </c>
      <c r="O48" s="327" t="e">
        <f t="shared" si="12"/>
        <v>#NUM!</v>
      </c>
      <c r="P48" s="305"/>
      <c r="Q48" s="303">
        <f t="shared" si="6"/>
        <v>0</v>
      </c>
      <c r="R48" s="304">
        <f t="shared" si="15"/>
        <v>59</v>
      </c>
      <c r="S48" s="305" t="str">
        <f t="shared" si="22"/>
        <v/>
      </c>
      <c r="T48" s="305" t="str">
        <f t="shared" si="23"/>
        <v/>
      </c>
      <c r="U48" s="305" t="str">
        <f t="shared" si="24"/>
        <v/>
      </c>
      <c r="V48" s="305" t="str">
        <f t="shared" si="25"/>
        <v/>
      </c>
      <c r="W48" s="314" t="str">
        <f t="shared" si="26"/>
        <v/>
      </c>
      <c r="X48" s="314" t="str">
        <f t="shared" si="27"/>
        <v/>
      </c>
      <c r="Y48" s="326" t="str">
        <f t="shared" si="13"/>
        <v/>
      </c>
    </row>
    <row r="49" spans="7:25" x14ac:dyDescent="0.25">
      <c r="G49" s="303">
        <f t="shared" si="0"/>
        <v>1</v>
      </c>
      <c r="H49" s="304">
        <f t="shared" si="14"/>
        <v>42</v>
      </c>
      <c r="I49" s="305">
        <f t="shared" si="16"/>
        <v>42</v>
      </c>
      <c r="J49" s="305">
        <f t="shared" si="17"/>
        <v>58</v>
      </c>
      <c r="K49" s="305">
        <f t="shared" si="18"/>
        <v>63</v>
      </c>
      <c r="L49" s="305">
        <f t="shared" si="19"/>
        <v>57</v>
      </c>
      <c r="M49" s="314" t="e">
        <f t="shared" si="20"/>
        <v>#NUM!</v>
      </c>
      <c r="N49" s="305" t="e">
        <f t="shared" si="21"/>
        <v>#NUM!</v>
      </c>
      <c r="O49" s="327" t="e">
        <f t="shared" si="12"/>
        <v>#NUM!</v>
      </c>
      <c r="P49" s="305"/>
      <c r="Q49" s="303">
        <f t="shared" si="6"/>
        <v>0</v>
      </c>
      <c r="R49" s="304">
        <f t="shared" si="15"/>
        <v>58</v>
      </c>
      <c r="S49" s="305" t="str">
        <f t="shared" si="22"/>
        <v/>
      </c>
      <c r="T49" s="305" t="str">
        <f t="shared" si="23"/>
        <v/>
      </c>
      <c r="U49" s="305" t="str">
        <f t="shared" si="24"/>
        <v/>
      </c>
      <c r="V49" s="305" t="str">
        <f t="shared" si="25"/>
        <v/>
      </c>
      <c r="W49" s="314" t="str">
        <f t="shared" si="26"/>
        <v/>
      </c>
      <c r="X49" s="314" t="str">
        <f t="shared" si="27"/>
        <v/>
      </c>
      <c r="Y49" s="326" t="str">
        <f t="shared" si="13"/>
        <v/>
      </c>
    </row>
    <row r="50" spans="7:25" x14ac:dyDescent="0.25">
      <c r="G50" s="303">
        <f t="shared" si="0"/>
        <v>1</v>
      </c>
      <c r="H50" s="304">
        <f t="shared" si="14"/>
        <v>43</v>
      </c>
      <c r="I50" s="305">
        <f t="shared" si="16"/>
        <v>43</v>
      </c>
      <c r="J50" s="305">
        <f t="shared" si="17"/>
        <v>57</v>
      </c>
      <c r="K50" s="305">
        <f t="shared" si="18"/>
        <v>62</v>
      </c>
      <c r="L50" s="305">
        <f t="shared" si="19"/>
        <v>58</v>
      </c>
      <c r="M50" s="314" t="e">
        <f t="shared" si="20"/>
        <v>#NUM!</v>
      </c>
      <c r="N50" s="305" t="e">
        <f t="shared" si="21"/>
        <v>#NUM!</v>
      </c>
      <c r="O50" s="327" t="e">
        <f t="shared" si="12"/>
        <v>#NUM!</v>
      </c>
      <c r="P50" s="305"/>
      <c r="Q50" s="303">
        <f t="shared" si="6"/>
        <v>0</v>
      </c>
      <c r="R50" s="304">
        <f t="shared" si="15"/>
        <v>57</v>
      </c>
      <c r="S50" s="305" t="str">
        <f t="shared" si="22"/>
        <v/>
      </c>
      <c r="T50" s="305" t="str">
        <f t="shared" si="23"/>
        <v/>
      </c>
      <c r="U50" s="305" t="str">
        <f t="shared" si="24"/>
        <v/>
      </c>
      <c r="V50" s="305" t="str">
        <f t="shared" si="25"/>
        <v/>
      </c>
      <c r="W50" s="314" t="str">
        <f t="shared" si="26"/>
        <v/>
      </c>
      <c r="X50" s="314" t="str">
        <f t="shared" si="27"/>
        <v/>
      </c>
      <c r="Y50" s="326" t="str">
        <f t="shared" si="13"/>
        <v/>
      </c>
    </row>
    <row r="51" spans="7:25" x14ac:dyDescent="0.25">
      <c r="G51" s="303">
        <f t="shared" si="0"/>
        <v>1</v>
      </c>
      <c r="H51" s="304">
        <f t="shared" si="14"/>
        <v>44</v>
      </c>
      <c r="I51" s="305">
        <f t="shared" si="16"/>
        <v>44</v>
      </c>
      <c r="J51" s="305">
        <f t="shared" si="17"/>
        <v>56</v>
      </c>
      <c r="K51" s="305">
        <f t="shared" si="18"/>
        <v>61</v>
      </c>
      <c r="L51" s="305">
        <f t="shared" si="19"/>
        <v>59</v>
      </c>
      <c r="M51" s="314" t="e">
        <f t="shared" si="20"/>
        <v>#NUM!</v>
      </c>
      <c r="N51" s="305" t="e">
        <f t="shared" si="21"/>
        <v>#NUM!</v>
      </c>
      <c r="O51" s="327" t="e">
        <f t="shared" si="12"/>
        <v>#NUM!</v>
      </c>
      <c r="P51" s="305"/>
      <c r="Q51" s="303">
        <f t="shared" si="6"/>
        <v>0</v>
      </c>
      <c r="R51" s="304">
        <f t="shared" si="15"/>
        <v>56</v>
      </c>
      <c r="S51" s="305" t="str">
        <f t="shared" si="22"/>
        <v/>
      </c>
      <c r="T51" s="305" t="str">
        <f t="shared" si="23"/>
        <v/>
      </c>
      <c r="U51" s="305" t="str">
        <f t="shared" si="24"/>
        <v/>
      </c>
      <c r="V51" s="305" t="str">
        <f t="shared" si="25"/>
        <v/>
      </c>
      <c r="W51" s="314" t="str">
        <f t="shared" si="26"/>
        <v/>
      </c>
      <c r="X51" s="314" t="str">
        <f t="shared" si="27"/>
        <v/>
      </c>
      <c r="Y51" s="326" t="str">
        <f t="shared" si="13"/>
        <v/>
      </c>
    </row>
    <row r="52" spans="7:25" x14ac:dyDescent="0.25">
      <c r="G52" s="303">
        <f t="shared" si="0"/>
        <v>1</v>
      </c>
      <c r="H52" s="304">
        <f t="shared" si="14"/>
        <v>45</v>
      </c>
      <c r="I52" s="305">
        <f t="shared" si="16"/>
        <v>45</v>
      </c>
      <c r="J52" s="305">
        <f t="shared" si="17"/>
        <v>55</v>
      </c>
      <c r="K52" s="305">
        <f t="shared" si="18"/>
        <v>60</v>
      </c>
      <c r="L52" s="305">
        <f t="shared" si="19"/>
        <v>60</v>
      </c>
      <c r="M52" s="314" t="e">
        <f t="shared" si="20"/>
        <v>#NUM!</v>
      </c>
      <c r="N52" s="305" t="e">
        <f t="shared" si="21"/>
        <v>#NUM!</v>
      </c>
      <c r="O52" s="327" t="e">
        <f t="shared" si="12"/>
        <v>#NUM!</v>
      </c>
      <c r="P52" s="305"/>
      <c r="Q52" s="303">
        <f t="shared" si="6"/>
        <v>0</v>
      </c>
      <c r="R52" s="304">
        <f t="shared" si="15"/>
        <v>55</v>
      </c>
      <c r="S52" s="305" t="str">
        <f t="shared" si="22"/>
        <v/>
      </c>
      <c r="T52" s="305" t="str">
        <f t="shared" si="23"/>
        <v/>
      </c>
      <c r="U52" s="305" t="str">
        <f t="shared" si="24"/>
        <v/>
      </c>
      <c r="V52" s="305" t="str">
        <f t="shared" si="25"/>
        <v/>
      </c>
      <c r="W52" s="314" t="str">
        <f t="shared" si="26"/>
        <v/>
      </c>
      <c r="X52" s="314" t="str">
        <f t="shared" si="27"/>
        <v/>
      </c>
      <c r="Y52" s="326" t="str">
        <f t="shared" si="13"/>
        <v/>
      </c>
    </row>
    <row r="53" spans="7:25" x14ac:dyDescent="0.25">
      <c r="G53" s="303">
        <f t="shared" si="0"/>
        <v>1</v>
      </c>
      <c r="H53" s="304">
        <f t="shared" si="14"/>
        <v>46</v>
      </c>
      <c r="I53" s="305">
        <f t="shared" si="16"/>
        <v>46</v>
      </c>
      <c r="J53" s="305">
        <f t="shared" si="17"/>
        <v>54</v>
      </c>
      <c r="K53" s="305">
        <f t="shared" si="18"/>
        <v>59</v>
      </c>
      <c r="L53" s="305">
        <f t="shared" si="19"/>
        <v>61</v>
      </c>
      <c r="M53" s="314" t="e">
        <f t="shared" si="20"/>
        <v>#NUM!</v>
      </c>
      <c r="N53" s="305" t="e">
        <f t="shared" si="21"/>
        <v>#NUM!</v>
      </c>
      <c r="O53" s="327" t="e">
        <f t="shared" si="12"/>
        <v>#NUM!</v>
      </c>
      <c r="P53" s="305"/>
      <c r="Q53" s="303">
        <f t="shared" si="6"/>
        <v>0</v>
      </c>
      <c r="R53" s="304">
        <f t="shared" si="15"/>
        <v>54</v>
      </c>
      <c r="S53" s="305" t="str">
        <f t="shared" si="22"/>
        <v/>
      </c>
      <c r="T53" s="305" t="str">
        <f t="shared" si="23"/>
        <v/>
      </c>
      <c r="U53" s="305" t="str">
        <f t="shared" si="24"/>
        <v/>
      </c>
      <c r="V53" s="305" t="str">
        <f t="shared" si="25"/>
        <v/>
      </c>
      <c r="W53" s="314" t="str">
        <f t="shared" si="26"/>
        <v/>
      </c>
      <c r="X53" s="314" t="str">
        <f t="shared" si="27"/>
        <v/>
      </c>
      <c r="Y53" s="326" t="str">
        <f t="shared" si="13"/>
        <v/>
      </c>
    </row>
    <row r="54" spans="7:25" x14ac:dyDescent="0.25">
      <c r="G54" s="303">
        <f t="shared" si="0"/>
        <v>1</v>
      </c>
      <c r="H54" s="304">
        <f t="shared" si="14"/>
        <v>47</v>
      </c>
      <c r="I54" s="305">
        <f t="shared" si="16"/>
        <v>47</v>
      </c>
      <c r="J54" s="305">
        <f t="shared" si="17"/>
        <v>53</v>
      </c>
      <c r="K54" s="305">
        <f t="shared" si="18"/>
        <v>58</v>
      </c>
      <c r="L54" s="305">
        <f t="shared" si="19"/>
        <v>62</v>
      </c>
      <c r="M54" s="314" t="e">
        <f t="shared" si="20"/>
        <v>#NUM!</v>
      </c>
      <c r="N54" s="305" t="e">
        <f t="shared" si="21"/>
        <v>#NUM!</v>
      </c>
      <c r="O54" s="327" t="e">
        <f t="shared" si="12"/>
        <v>#NUM!</v>
      </c>
      <c r="P54" s="305"/>
      <c r="Q54" s="303">
        <f t="shared" si="6"/>
        <v>0</v>
      </c>
      <c r="R54" s="304">
        <f t="shared" si="15"/>
        <v>53</v>
      </c>
      <c r="S54" s="305" t="str">
        <f t="shared" si="22"/>
        <v/>
      </c>
      <c r="T54" s="305" t="str">
        <f t="shared" si="23"/>
        <v/>
      </c>
      <c r="U54" s="305" t="str">
        <f t="shared" si="24"/>
        <v/>
      </c>
      <c r="V54" s="305" t="str">
        <f t="shared" si="25"/>
        <v/>
      </c>
      <c r="W54" s="314" t="str">
        <f t="shared" si="26"/>
        <v/>
      </c>
      <c r="X54" s="314" t="str">
        <f t="shared" si="27"/>
        <v/>
      </c>
      <c r="Y54" s="326" t="str">
        <f t="shared" si="13"/>
        <v/>
      </c>
    </row>
    <row r="55" spans="7:25" x14ac:dyDescent="0.25">
      <c r="G55" s="303">
        <f t="shared" si="0"/>
        <v>1</v>
      </c>
      <c r="H55" s="304">
        <f t="shared" si="14"/>
        <v>48</v>
      </c>
      <c r="I55" s="305">
        <f t="shared" si="16"/>
        <v>48</v>
      </c>
      <c r="J55" s="305">
        <f t="shared" si="17"/>
        <v>52</v>
      </c>
      <c r="K55" s="305">
        <f t="shared" si="18"/>
        <v>57</v>
      </c>
      <c r="L55" s="305">
        <f t="shared" si="19"/>
        <v>63</v>
      </c>
      <c r="M55" s="314" t="e">
        <f t="shared" si="20"/>
        <v>#NUM!</v>
      </c>
      <c r="N55" s="305" t="e">
        <f t="shared" si="21"/>
        <v>#NUM!</v>
      </c>
      <c r="O55" s="327" t="e">
        <f t="shared" si="12"/>
        <v>#NUM!</v>
      </c>
      <c r="P55" s="305"/>
      <c r="Q55" s="303">
        <f t="shared" si="6"/>
        <v>0</v>
      </c>
      <c r="R55" s="304">
        <f t="shared" si="15"/>
        <v>52</v>
      </c>
      <c r="S55" s="305" t="str">
        <f t="shared" si="22"/>
        <v/>
      </c>
      <c r="T55" s="305" t="str">
        <f t="shared" si="23"/>
        <v/>
      </c>
      <c r="U55" s="305" t="str">
        <f t="shared" si="24"/>
        <v/>
      </c>
      <c r="V55" s="305" t="str">
        <f t="shared" si="25"/>
        <v/>
      </c>
      <c r="W55" s="314" t="str">
        <f t="shared" si="26"/>
        <v/>
      </c>
      <c r="X55" s="314" t="str">
        <f t="shared" si="27"/>
        <v/>
      </c>
      <c r="Y55" s="326" t="str">
        <f t="shared" si="13"/>
        <v/>
      </c>
    </row>
    <row r="56" spans="7:25" x14ac:dyDescent="0.25">
      <c r="G56" s="303">
        <f t="shared" si="0"/>
        <v>1</v>
      </c>
      <c r="H56" s="304">
        <f t="shared" si="14"/>
        <v>49</v>
      </c>
      <c r="I56" s="305">
        <f t="shared" si="16"/>
        <v>49</v>
      </c>
      <c r="J56" s="305">
        <f t="shared" si="17"/>
        <v>51</v>
      </c>
      <c r="K56" s="305">
        <f t="shared" si="18"/>
        <v>56</v>
      </c>
      <c r="L56" s="305">
        <f t="shared" si="19"/>
        <v>64</v>
      </c>
      <c r="M56" s="314" t="e">
        <f t="shared" si="20"/>
        <v>#NUM!</v>
      </c>
      <c r="N56" s="305" t="e">
        <f t="shared" si="21"/>
        <v>#NUM!</v>
      </c>
      <c r="O56" s="327" t="e">
        <f t="shared" si="12"/>
        <v>#NUM!</v>
      </c>
      <c r="P56" s="305"/>
      <c r="Q56" s="303">
        <f t="shared" si="6"/>
        <v>0</v>
      </c>
      <c r="R56" s="304">
        <f t="shared" si="15"/>
        <v>51</v>
      </c>
      <c r="S56" s="305" t="str">
        <f t="shared" si="22"/>
        <v/>
      </c>
      <c r="T56" s="305" t="str">
        <f t="shared" si="23"/>
        <v/>
      </c>
      <c r="U56" s="305" t="str">
        <f t="shared" si="24"/>
        <v/>
      </c>
      <c r="V56" s="305" t="str">
        <f t="shared" si="25"/>
        <v/>
      </c>
      <c r="W56" s="314" t="str">
        <f t="shared" si="26"/>
        <v/>
      </c>
      <c r="X56" s="314" t="str">
        <f t="shared" si="27"/>
        <v/>
      </c>
      <c r="Y56" s="326" t="str">
        <f t="shared" si="13"/>
        <v/>
      </c>
    </row>
    <row r="57" spans="7:25" x14ac:dyDescent="0.25">
      <c r="G57" s="303">
        <f t="shared" si="0"/>
        <v>1</v>
      </c>
      <c r="H57" s="304">
        <f t="shared" si="14"/>
        <v>50</v>
      </c>
      <c r="I57" s="305">
        <f t="shared" si="16"/>
        <v>50</v>
      </c>
      <c r="J57" s="305">
        <f t="shared" si="17"/>
        <v>50</v>
      </c>
      <c r="K57" s="305">
        <f t="shared" si="18"/>
        <v>55</v>
      </c>
      <c r="L57" s="305">
        <f t="shared" si="19"/>
        <v>65</v>
      </c>
      <c r="M57" s="314" t="e">
        <f t="shared" si="20"/>
        <v>#NUM!</v>
      </c>
      <c r="N57" s="305" t="e">
        <f t="shared" si="21"/>
        <v>#NUM!</v>
      </c>
      <c r="O57" s="327" t="e">
        <f t="shared" si="12"/>
        <v>#NUM!</v>
      </c>
      <c r="P57" s="305"/>
      <c r="Q57" s="303">
        <f t="shared" si="6"/>
        <v>0</v>
      </c>
      <c r="R57" s="304">
        <f t="shared" si="15"/>
        <v>50</v>
      </c>
      <c r="S57" s="305" t="str">
        <f t="shared" si="22"/>
        <v/>
      </c>
      <c r="T57" s="305" t="str">
        <f t="shared" si="23"/>
        <v/>
      </c>
      <c r="U57" s="305" t="str">
        <f t="shared" si="24"/>
        <v/>
      </c>
      <c r="V57" s="305" t="str">
        <f t="shared" si="25"/>
        <v/>
      </c>
      <c r="W57" s="314" t="str">
        <f t="shared" si="26"/>
        <v/>
      </c>
      <c r="X57" s="314" t="str">
        <f t="shared" si="27"/>
        <v/>
      </c>
      <c r="Y57" s="326" t="str">
        <f t="shared" si="13"/>
        <v/>
      </c>
    </row>
    <row r="58" spans="7:25" x14ac:dyDescent="0.25">
      <c r="G58" s="303">
        <f t="shared" si="0"/>
        <v>1</v>
      </c>
      <c r="H58" s="304">
        <f t="shared" si="14"/>
        <v>51</v>
      </c>
      <c r="I58" s="305">
        <f t="shared" si="16"/>
        <v>51</v>
      </c>
      <c r="J58" s="305">
        <f t="shared" si="17"/>
        <v>49</v>
      </c>
      <c r="K58" s="305">
        <f t="shared" si="18"/>
        <v>54</v>
      </c>
      <c r="L58" s="305">
        <f t="shared" si="19"/>
        <v>66</v>
      </c>
      <c r="M58" s="314" t="e">
        <f t="shared" si="20"/>
        <v>#NUM!</v>
      </c>
      <c r="N58" s="305" t="e">
        <f t="shared" si="21"/>
        <v>#NUM!</v>
      </c>
      <c r="O58" s="327" t="e">
        <f t="shared" si="12"/>
        <v>#NUM!</v>
      </c>
      <c r="P58" s="305"/>
      <c r="Q58" s="303">
        <f t="shared" si="6"/>
        <v>0</v>
      </c>
      <c r="R58" s="304">
        <f t="shared" si="15"/>
        <v>49</v>
      </c>
      <c r="S58" s="305" t="str">
        <f t="shared" si="22"/>
        <v/>
      </c>
      <c r="T58" s="305" t="str">
        <f t="shared" si="23"/>
        <v/>
      </c>
      <c r="U58" s="305" t="str">
        <f t="shared" si="24"/>
        <v/>
      </c>
      <c r="V58" s="305" t="str">
        <f t="shared" si="25"/>
        <v/>
      </c>
      <c r="W58" s="314" t="str">
        <f t="shared" si="26"/>
        <v/>
      </c>
      <c r="X58" s="314" t="str">
        <f t="shared" si="27"/>
        <v/>
      </c>
      <c r="Y58" s="326" t="str">
        <f t="shared" si="13"/>
        <v/>
      </c>
    </row>
    <row r="59" spans="7:25" x14ac:dyDescent="0.25">
      <c r="G59" s="303">
        <f t="shared" si="0"/>
        <v>1</v>
      </c>
      <c r="H59" s="304">
        <f t="shared" si="14"/>
        <v>52</v>
      </c>
      <c r="I59" s="305">
        <f t="shared" si="16"/>
        <v>52</v>
      </c>
      <c r="J59" s="305">
        <f t="shared" si="17"/>
        <v>48</v>
      </c>
      <c r="K59" s="305">
        <f t="shared" si="18"/>
        <v>53</v>
      </c>
      <c r="L59" s="305">
        <f t="shared" si="19"/>
        <v>67</v>
      </c>
      <c r="M59" s="314" t="e">
        <f t="shared" si="20"/>
        <v>#NUM!</v>
      </c>
      <c r="N59" s="305" t="e">
        <f t="shared" si="21"/>
        <v>#NUM!</v>
      </c>
      <c r="O59" s="327" t="e">
        <f t="shared" si="12"/>
        <v>#NUM!</v>
      </c>
      <c r="P59" s="305"/>
      <c r="Q59" s="303">
        <f t="shared" si="6"/>
        <v>0</v>
      </c>
      <c r="R59" s="304">
        <f t="shared" si="15"/>
        <v>48</v>
      </c>
      <c r="S59" s="305" t="str">
        <f t="shared" si="22"/>
        <v/>
      </c>
      <c r="T59" s="305" t="str">
        <f t="shared" si="23"/>
        <v/>
      </c>
      <c r="U59" s="305" t="str">
        <f t="shared" si="24"/>
        <v/>
      </c>
      <c r="V59" s="305" t="str">
        <f t="shared" si="25"/>
        <v/>
      </c>
      <c r="W59" s="314" t="str">
        <f t="shared" si="26"/>
        <v/>
      </c>
      <c r="X59" s="314" t="str">
        <f t="shared" si="27"/>
        <v/>
      </c>
      <c r="Y59" s="326" t="str">
        <f t="shared" si="13"/>
        <v/>
      </c>
    </row>
    <row r="60" spans="7:25" x14ac:dyDescent="0.25">
      <c r="G60" s="303">
        <f t="shared" si="0"/>
        <v>1</v>
      </c>
      <c r="H60" s="304">
        <f t="shared" si="14"/>
        <v>53</v>
      </c>
      <c r="I60" s="305">
        <f t="shared" si="16"/>
        <v>53</v>
      </c>
      <c r="J60" s="305">
        <f t="shared" si="17"/>
        <v>47</v>
      </c>
      <c r="K60" s="305">
        <f t="shared" si="18"/>
        <v>52</v>
      </c>
      <c r="L60" s="305">
        <f t="shared" si="19"/>
        <v>68</v>
      </c>
      <c r="M60" s="314" t="e">
        <f t="shared" si="20"/>
        <v>#NUM!</v>
      </c>
      <c r="N60" s="305" t="e">
        <f t="shared" si="21"/>
        <v>#NUM!</v>
      </c>
      <c r="O60" s="327" t="e">
        <f t="shared" si="12"/>
        <v>#NUM!</v>
      </c>
      <c r="P60" s="305"/>
      <c r="Q60" s="303">
        <f t="shared" si="6"/>
        <v>0</v>
      </c>
      <c r="R60" s="304">
        <f t="shared" si="15"/>
        <v>47</v>
      </c>
      <c r="S60" s="305" t="str">
        <f t="shared" si="22"/>
        <v/>
      </c>
      <c r="T60" s="305" t="str">
        <f t="shared" si="23"/>
        <v/>
      </c>
      <c r="U60" s="305" t="str">
        <f t="shared" si="24"/>
        <v/>
      </c>
      <c r="V60" s="305" t="str">
        <f t="shared" si="25"/>
        <v/>
      </c>
      <c r="W60" s="314" t="str">
        <f t="shared" si="26"/>
        <v/>
      </c>
      <c r="X60" s="314" t="str">
        <f t="shared" si="27"/>
        <v/>
      </c>
      <c r="Y60" s="326" t="str">
        <f t="shared" si="13"/>
        <v/>
      </c>
    </row>
    <row r="61" spans="7:25" x14ac:dyDescent="0.25">
      <c r="G61" s="303">
        <f t="shared" si="0"/>
        <v>1</v>
      </c>
      <c r="H61" s="304">
        <f t="shared" si="14"/>
        <v>54</v>
      </c>
      <c r="I61" s="305">
        <f t="shared" si="16"/>
        <v>54</v>
      </c>
      <c r="J61" s="305">
        <f t="shared" si="17"/>
        <v>46</v>
      </c>
      <c r="K61" s="305">
        <f t="shared" si="18"/>
        <v>51</v>
      </c>
      <c r="L61" s="305">
        <f t="shared" si="19"/>
        <v>69</v>
      </c>
      <c r="M61" s="314" t="e">
        <f t="shared" si="20"/>
        <v>#NUM!</v>
      </c>
      <c r="N61" s="305" t="e">
        <f t="shared" si="21"/>
        <v>#NUM!</v>
      </c>
      <c r="O61" s="327" t="e">
        <f t="shared" si="12"/>
        <v>#NUM!</v>
      </c>
      <c r="P61" s="305"/>
      <c r="Q61" s="303">
        <f t="shared" si="6"/>
        <v>0</v>
      </c>
      <c r="R61" s="304">
        <f t="shared" si="15"/>
        <v>46</v>
      </c>
      <c r="S61" s="305" t="str">
        <f t="shared" si="22"/>
        <v/>
      </c>
      <c r="T61" s="305" t="str">
        <f t="shared" si="23"/>
        <v/>
      </c>
      <c r="U61" s="305" t="str">
        <f t="shared" si="24"/>
        <v/>
      </c>
      <c r="V61" s="305" t="str">
        <f t="shared" si="25"/>
        <v/>
      </c>
      <c r="W61" s="314" t="str">
        <f t="shared" si="26"/>
        <v/>
      </c>
      <c r="X61" s="314" t="str">
        <f t="shared" si="27"/>
        <v/>
      </c>
      <c r="Y61" s="326" t="str">
        <f t="shared" si="13"/>
        <v/>
      </c>
    </row>
    <row r="62" spans="7:25" x14ac:dyDescent="0.25">
      <c r="G62" s="303">
        <f t="shared" si="0"/>
        <v>1</v>
      </c>
      <c r="H62" s="304">
        <f t="shared" si="14"/>
        <v>55</v>
      </c>
      <c r="I62" s="305">
        <f t="shared" si="16"/>
        <v>55</v>
      </c>
      <c r="J62" s="305">
        <f t="shared" si="17"/>
        <v>45</v>
      </c>
      <c r="K62" s="305">
        <f t="shared" si="18"/>
        <v>50</v>
      </c>
      <c r="L62" s="305">
        <f t="shared" si="19"/>
        <v>70</v>
      </c>
      <c r="M62" s="314" t="e">
        <f t="shared" si="20"/>
        <v>#NUM!</v>
      </c>
      <c r="N62" s="305" t="e">
        <f t="shared" si="21"/>
        <v>#NUM!</v>
      </c>
      <c r="O62" s="327" t="e">
        <f t="shared" si="12"/>
        <v>#NUM!</v>
      </c>
      <c r="P62" s="305"/>
      <c r="Q62" s="303">
        <f t="shared" si="6"/>
        <v>0</v>
      </c>
      <c r="R62" s="304">
        <f t="shared" si="15"/>
        <v>45</v>
      </c>
      <c r="S62" s="305" t="str">
        <f t="shared" si="22"/>
        <v/>
      </c>
      <c r="T62" s="305" t="str">
        <f t="shared" si="23"/>
        <v/>
      </c>
      <c r="U62" s="305" t="str">
        <f t="shared" si="24"/>
        <v/>
      </c>
      <c r="V62" s="305" t="str">
        <f t="shared" si="25"/>
        <v/>
      </c>
      <c r="W62" s="314" t="str">
        <f t="shared" si="26"/>
        <v/>
      </c>
      <c r="X62" s="314" t="str">
        <f t="shared" si="27"/>
        <v/>
      </c>
      <c r="Y62" s="326" t="str">
        <f t="shared" si="13"/>
        <v/>
      </c>
    </row>
    <row r="63" spans="7:25" x14ac:dyDescent="0.25">
      <c r="G63" s="303">
        <f t="shared" si="0"/>
        <v>1</v>
      </c>
      <c r="H63" s="304">
        <f t="shared" si="14"/>
        <v>56</v>
      </c>
      <c r="I63" s="305">
        <f t="shared" si="16"/>
        <v>56</v>
      </c>
      <c r="J63" s="305">
        <f t="shared" si="17"/>
        <v>44</v>
      </c>
      <c r="K63" s="305">
        <f t="shared" si="18"/>
        <v>49</v>
      </c>
      <c r="L63" s="305">
        <f t="shared" si="19"/>
        <v>71</v>
      </c>
      <c r="M63" s="314" t="e">
        <f t="shared" si="20"/>
        <v>#NUM!</v>
      </c>
      <c r="N63" s="305" t="e">
        <f t="shared" si="21"/>
        <v>#NUM!</v>
      </c>
      <c r="O63" s="327" t="e">
        <f t="shared" si="12"/>
        <v>#NUM!</v>
      </c>
      <c r="P63" s="305"/>
      <c r="Q63" s="303">
        <f t="shared" si="6"/>
        <v>0</v>
      </c>
      <c r="R63" s="304">
        <f t="shared" si="15"/>
        <v>44</v>
      </c>
      <c r="S63" s="305" t="str">
        <f t="shared" si="22"/>
        <v/>
      </c>
      <c r="T63" s="305" t="str">
        <f t="shared" si="23"/>
        <v/>
      </c>
      <c r="U63" s="305" t="str">
        <f t="shared" si="24"/>
        <v/>
      </c>
      <c r="V63" s="305" t="str">
        <f t="shared" si="25"/>
        <v/>
      </c>
      <c r="W63" s="314" t="str">
        <f t="shared" si="26"/>
        <v/>
      </c>
      <c r="X63" s="314" t="str">
        <f t="shared" si="27"/>
        <v/>
      </c>
      <c r="Y63" s="326" t="str">
        <f t="shared" si="13"/>
        <v/>
      </c>
    </row>
    <row r="64" spans="7:25" x14ac:dyDescent="0.25">
      <c r="G64" s="303">
        <f t="shared" si="0"/>
        <v>1</v>
      </c>
      <c r="H64" s="304">
        <f t="shared" si="14"/>
        <v>57</v>
      </c>
      <c r="I64" s="305">
        <f t="shared" si="16"/>
        <v>57</v>
      </c>
      <c r="J64" s="305">
        <f t="shared" si="17"/>
        <v>43</v>
      </c>
      <c r="K64" s="305">
        <f t="shared" si="18"/>
        <v>48</v>
      </c>
      <c r="L64" s="305">
        <f t="shared" si="19"/>
        <v>72</v>
      </c>
      <c r="M64" s="314" t="e">
        <f t="shared" si="20"/>
        <v>#NUM!</v>
      </c>
      <c r="N64" s="305" t="e">
        <f t="shared" si="21"/>
        <v>#NUM!</v>
      </c>
      <c r="O64" s="327" t="e">
        <f t="shared" si="12"/>
        <v>#NUM!</v>
      </c>
      <c r="P64" s="305"/>
      <c r="Q64" s="303">
        <f t="shared" si="6"/>
        <v>0</v>
      </c>
      <c r="R64" s="304">
        <f t="shared" si="15"/>
        <v>43</v>
      </c>
      <c r="S64" s="305" t="str">
        <f t="shared" si="22"/>
        <v/>
      </c>
      <c r="T64" s="305" t="str">
        <f t="shared" si="23"/>
        <v/>
      </c>
      <c r="U64" s="305" t="str">
        <f t="shared" si="24"/>
        <v/>
      </c>
      <c r="V64" s="305" t="str">
        <f t="shared" si="25"/>
        <v/>
      </c>
      <c r="W64" s="314" t="str">
        <f t="shared" si="26"/>
        <v/>
      </c>
      <c r="X64" s="314" t="str">
        <f t="shared" si="27"/>
        <v/>
      </c>
      <c r="Y64" s="326" t="str">
        <f t="shared" si="13"/>
        <v/>
      </c>
    </row>
    <row r="65" spans="7:25" x14ac:dyDescent="0.25">
      <c r="G65" s="303">
        <f t="shared" si="0"/>
        <v>1</v>
      </c>
      <c r="H65" s="304">
        <f t="shared" si="14"/>
        <v>58</v>
      </c>
      <c r="I65" s="305">
        <f t="shared" si="16"/>
        <v>58</v>
      </c>
      <c r="J65" s="305">
        <f t="shared" si="17"/>
        <v>42</v>
      </c>
      <c r="K65" s="305">
        <f t="shared" si="18"/>
        <v>47</v>
      </c>
      <c r="L65" s="305">
        <f t="shared" si="19"/>
        <v>73</v>
      </c>
      <c r="M65" s="314" t="e">
        <f t="shared" si="20"/>
        <v>#NUM!</v>
      </c>
      <c r="N65" s="305" t="e">
        <f t="shared" si="21"/>
        <v>#NUM!</v>
      </c>
      <c r="O65" s="327" t="e">
        <f t="shared" si="12"/>
        <v>#NUM!</v>
      </c>
      <c r="P65" s="305"/>
      <c r="Q65" s="303">
        <f t="shared" si="6"/>
        <v>0</v>
      </c>
      <c r="R65" s="304">
        <f t="shared" si="15"/>
        <v>42</v>
      </c>
      <c r="S65" s="305" t="str">
        <f t="shared" si="22"/>
        <v/>
      </c>
      <c r="T65" s="305" t="str">
        <f t="shared" si="23"/>
        <v/>
      </c>
      <c r="U65" s="305" t="str">
        <f t="shared" si="24"/>
        <v/>
      </c>
      <c r="V65" s="305" t="str">
        <f t="shared" si="25"/>
        <v/>
      </c>
      <c r="W65" s="314" t="str">
        <f t="shared" si="26"/>
        <v/>
      </c>
      <c r="X65" s="314" t="str">
        <f t="shared" si="27"/>
        <v/>
      </c>
      <c r="Y65" s="326" t="str">
        <f t="shared" si="13"/>
        <v/>
      </c>
    </row>
    <row r="66" spans="7:25" x14ac:dyDescent="0.25">
      <c r="G66" s="303">
        <f t="shared" si="0"/>
        <v>1</v>
      </c>
      <c r="H66" s="304">
        <f t="shared" si="14"/>
        <v>59</v>
      </c>
      <c r="I66" s="305">
        <f t="shared" si="16"/>
        <v>59</v>
      </c>
      <c r="J66" s="305">
        <f t="shared" si="17"/>
        <v>41</v>
      </c>
      <c r="K66" s="305">
        <f t="shared" si="18"/>
        <v>46</v>
      </c>
      <c r="L66" s="305">
        <f t="shared" si="19"/>
        <v>74</v>
      </c>
      <c r="M66" s="314" t="e">
        <f t="shared" si="20"/>
        <v>#NUM!</v>
      </c>
      <c r="N66" s="305" t="e">
        <f t="shared" si="21"/>
        <v>#NUM!</v>
      </c>
      <c r="O66" s="327" t="e">
        <f t="shared" si="12"/>
        <v>#NUM!</v>
      </c>
      <c r="P66" s="305"/>
      <c r="Q66" s="303">
        <f t="shared" si="6"/>
        <v>0</v>
      </c>
      <c r="R66" s="304">
        <f t="shared" si="15"/>
        <v>41</v>
      </c>
      <c r="S66" s="305" t="str">
        <f t="shared" si="22"/>
        <v/>
      </c>
      <c r="T66" s="305" t="str">
        <f t="shared" si="23"/>
        <v/>
      </c>
      <c r="U66" s="305" t="str">
        <f t="shared" si="24"/>
        <v/>
      </c>
      <c r="V66" s="305" t="str">
        <f t="shared" si="25"/>
        <v/>
      </c>
      <c r="W66" s="314" t="str">
        <f t="shared" si="26"/>
        <v/>
      </c>
      <c r="X66" s="314" t="str">
        <f t="shared" si="27"/>
        <v/>
      </c>
      <c r="Y66" s="326" t="str">
        <f t="shared" si="13"/>
        <v/>
      </c>
    </row>
    <row r="67" spans="7:25" x14ac:dyDescent="0.25">
      <c r="G67" s="303">
        <f t="shared" si="0"/>
        <v>1</v>
      </c>
      <c r="H67" s="304">
        <f t="shared" si="14"/>
        <v>60</v>
      </c>
      <c r="I67" s="305">
        <f t="shared" si="16"/>
        <v>60</v>
      </c>
      <c r="J67" s="305">
        <f t="shared" si="17"/>
        <v>40</v>
      </c>
      <c r="K67" s="305">
        <f t="shared" si="18"/>
        <v>45</v>
      </c>
      <c r="L67" s="305">
        <f t="shared" si="19"/>
        <v>75</v>
      </c>
      <c r="M67" s="314" t="e">
        <f t="shared" si="20"/>
        <v>#NUM!</v>
      </c>
      <c r="N67" s="305" t="e">
        <f t="shared" si="21"/>
        <v>#NUM!</v>
      </c>
      <c r="O67" s="327" t="e">
        <f t="shared" si="12"/>
        <v>#NUM!</v>
      </c>
      <c r="P67" s="305"/>
      <c r="Q67" s="303">
        <f t="shared" si="6"/>
        <v>0</v>
      </c>
      <c r="R67" s="304">
        <f t="shared" si="15"/>
        <v>40</v>
      </c>
      <c r="S67" s="305" t="str">
        <f t="shared" si="22"/>
        <v/>
      </c>
      <c r="T67" s="305" t="str">
        <f t="shared" si="23"/>
        <v/>
      </c>
      <c r="U67" s="305" t="str">
        <f t="shared" si="24"/>
        <v/>
      </c>
      <c r="V67" s="305" t="str">
        <f t="shared" si="25"/>
        <v/>
      </c>
      <c r="W67" s="314" t="str">
        <f t="shared" si="26"/>
        <v/>
      </c>
      <c r="X67" s="314" t="str">
        <f t="shared" si="27"/>
        <v/>
      </c>
      <c r="Y67" s="326" t="str">
        <f t="shared" si="13"/>
        <v/>
      </c>
    </row>
    <row r="68" spans="7:25" x14ac:dyDescent="0.25">
      <c r="G68" s="303">
        <f t="shared" si="0"/>
        <v>1</v>
      </c>
      <c r="H68" s="304">
        <f t="shared" si="14"/>
        <v>61</v>
      </c>
      <c r="I68" s="305">
        <f t="shared" si="16"/>
        <v>61</v>
      </c>
      <c r="J68" s="305">
        <f t="shared" si="17"/>
        <v>39</v>
      </c>
      <c r="K68" s="305">
        <f t="shared" si="18"/>
        <v>44</v>
      </c>
      <c r="L68" s="305">
        <f t="shared" si="19"/>
        <v>76</v>
      </c>
      <c r="M68" s="314" t="e">
        <f t="shared" si="20"/>
        <v>#NUM!</v>
      </c>
      <c r="N68" s="305" t="e">
        <f t="shared" si="21"/>
        <v>#NUM!</v>
      </c>
      <c r="O68" s="327" t="e">
        <f t="shared" si="12"/>
        <v>#NUM!</v>
      </c>
      <c r="P68" s="305"/>
      <c r="Q68" s="303">
        <f t="shared" si="6"/>
        <v>0</v>
      </c>
      <c r="R68" s="304">
        <f t="shared" si="15"/>
        <v>39</v>
      </c>
      <c r="S68" s="305" t="str">
        <f t="shared" si="22"/>
        <v/>
      </c>
      <c r="T68" s="305" t="str">
        <f t="shared" si="23"/>
        <v/>
      </c>
      <c r="U68" s="305" t="str">
        <f t="shared" si="24"/>
        <v/>
      </c>
      <c r="V68" s="305" t="str">
        <f t="shared" si="25"/>
        <v/>
      </c>
      <c r="W68" s="314" t="str">
        <f t="shared" si="26"/>
        <v/>
      </c>
      <c r="X68" s="314" t="str">
        <f t="shared" si="27"/>
        <v/>
      </c>
      <c r="Y68" s="326" t="str">
        <f t="shared" si="13"/>
        <v/>
      </c>
    </row>
    <row r="69" spans="7:25" x14ac:dyDescent="0.25">
      <c r="G69" s="303">
        <f t="shared" si="0"/>
        <v>1</v>
      </c>
      <c r="H69" s="304">
        <f t="shared" si="14"/>
        <v>62</v>
      </c>
      <c r="I69" s="305">
        <f t="shared" si="16"/>
        <v>62</v>
      </c>
      <c r="J69" s="305">
        <f t="shared" si="17"/>
        <v>38</v>
      </c>
      <c r="K69" s="305">
        <f t="shared" si="18"/>
        <v>43</v>
      </c>
      <c r="L69" s="305">
        <f t="shared" si="19"/>
        <v>77</v>
      </c>
      <c r="M69" s="314" t="e">
        <f t="shared" si="20"/>
        <v>#NUM!</v>
      </c>
      <c r="N69" s="305" t="e">
        <f t="shared" si="21"/>
        <v>#NUM!</v>
      </c>
      <c r="O69" s="327" t="e">
        <f t="shared" si="12"/>
        <v>#NUM!</v>
      </c>
      <c r="P69" s="305"/>
      <c r="Q69" s="303">
        <f t="shared" si="6"/>
        <v>0</v>
      </c>
      <c r="R69" s="304">
        <f t="shared" si="15"/>
        <v>38</v>
      </c>
      <c r="S69" s="305" t="str">
        <f t="shared" si="22"/>
        <v/>
      </c>
      <c r="T69" s="305" t="str">
        <f t="shared" si="23"/>
        <v/>
      </c>
      <c r="U69" s="305" t="str">
        <f t="shared" si="24"/>
        <v/>
      </c>
      <c r="V69" s="305" t="str">
        <f t="shared" si="25"/>
        <v/>
      </c>
      <c r="W69" s="314" t="str">
        <f t="shared" si="26"/>
        <v/>
      </c>
      <c r="X69" s="314" t="str">
        <f t="shared" si="27"/>
        <v/>
      </c>
      <c r="Y69" s="326" t="str">
        <f t="shared" si="13"/>
        <v/>
      </c>
    </row>
    <row r="70" spans="7:25" x14ac:dyDescent="0.25">
      <c r="G70" s="303">
        <f t="shared" si="0"/>
        <v>1</v>
      </c>
      <c r="H70" s="304">
        <f t="shared" si="14"/>
        <v>63</v>
      </c>
      <c r="I70" s="305">
        <f t="shared" si="16"/>
        <v>63</v>
      </c>
      <c r="J70" s="305">
        <f t="shared" si="17"/>
        <v>37</v>
      </c>
      <c r="K70" s="305">
        <f t="shared" si="18"/>
        <v>42</v>
      </c>
      <c r="L70" s="305">
        <f t="shared" si="19"/>
        <v>78</v>
      </c>
      <c r="M70" s="314" t="e">
        <f t="shared" si="20"/>
        <v>#NUM!</v>
      </c>
      <c r="N70" s="305" t="e">
        <f t="shared" si="21"/>
        <v>#NUM!</v>
      </c>
      <c r="O70" s="327" t="e">
        <f t="shared" si="12"/>
        <v>#NUM!</v>
      </c>
      <c r="P70" s="305"/>
      <c r="Q70" s="303">
        <f t="shared" si="6"/>
        <v>0</v>
      </c>
      <c r="R70" s="304">
        <f t="shared" si="15"/>
        <v>37</v>
      </c>
      <c r="S70" s="305" t="str">
        <f t="shared" si="22"/>
        <v/>
      </c>
      <c r="T70" s="305" t="str">
        <f t="shared" si="23"/>
        <v/>
      </c>
      <c r="U70" s="305" t="str">
        <f t="shared" si="24"/>
        <v/>
      </c>
      <c r="V70" s="305" t="str">
        <f t="shared" si="25"/>
        <v/>
      </c>
      <c r="W70" s="314" t="str">
        <f t="shared" si="26"/>
        <v/>
      </c>
      <c r="X70" s="314" t="str">
        <f t="shared" si="27"/>
        <v/>
      </c>
      <c r="Y70" s="326" t="str">
        <f t="shared" si="13"/>
        <v/>
      </c>
    </row>
    <row r="71" spans="7:25" x14ac:dyDescent="0.25">
      <c r="G71" s="303">
        <f t="shared" ref="G71:G134" si="28">IF(H71&lt;=$C$16,1,0)</f>
        <v>1</v>
      </c>
      <c r="H71" s="304">
        <f t="shared" si="14"/>
        <v>64</v>
      </c>
      <c r="I71" s="305">
        <f t="shared" si="16"/>
        <v>64</v>
      </c>
      <c r="J71" s="305">
        <f t="shared" si="17"/>
        <v>36</v>
      </c>
      <c r="K71" s="305">
        <f t="shared" si="18"/>
        <v>41</v>
      </c>
      <c r="L71" s="305">
        <f t="shared" si="19"/>
        <v>79</v>
      </c>
      <c r="M71" s="314" t="e">
        <f t="shared" si="20"/>
        <v>#NUM!</v>
      </c>
      <c r="N71" s="305" t="e">
        <f t="shared" si="21"/>
        <v>#NUM!</v>
      </c>
      <c r="O71" s="327" t="e">
        <f t="shared" si="12"/>
        <v>#NUM!</v>
      </c>
      <c r="P71" s="305"/>
      <c r="Q71" s="303">
        <f t="shared" ref="Q71:Q134" si="29">IF(R71&gt;=$C$16,1,0)</f>
        <v>0</v>
      </c>
      <c r="R71" s="304">
        <f t="shared" si="15"/>
        <v>36</v>
      </c>
      <c r="S71" s="305" t="str">
        <f t="shared" si="22"/>
        <v/>
      </c>
      <c r="T71" s="305" t="str">
        <f t="shared" si="23"/>
        <v/>
      </c>
      <c r="U71" s="305" t="str">
        <f t="shared" si="24"/>
        <v/>
      </c>
      <c r="V71" s="305" t="str">
        <f t="shared" si="25"/>
        <v/>
      </c>
      <c r="W71" s="314" t="str">
        <f t="shared" si="26"/>
        <v/>
      </c>
      <c r="X71" s="314" t="str">
        <f t="shared" si="27"/>
        <v/>
      </c>
      <c r="Y71" s="326" t="str">
        <f t="shared" si="13"/>
        <v/>
      </c>
    </row>
    <row r="72" spans="7:25" x14ac:dyDescent="0.25">
      <c r="G72" s="303">
        <f t="shared" si="28"/>
        <v>1</v>
      </c>
      <c r="H72" s="304">
        <f t="shared" si="14"/>
        <v>65</v>
      </c>
      <c r="I72" s="305">
        <f t="shared" si="16"/>
        <v>65</v>
      </c>
      <c r="J72" s="305">
        <f t="shared" si="17"/>
        <v>35</v>
      </c>
      <c r="K72" s="305">
        <f t="shared" si="18"/>
        <v>40</v>
      </c>
      <c r="L72" s="305">
        <f t="shared" si="19"/>
        <v>80</v>
      </c>
      <c r="M72" s="314" t="e">
        <f t="shared" si="20"/>
        <v>#NUM!</v>
      </c>
      <c r="N72" s="305" t="e">
        <f t="shared" si="21"/>
        <v>#NUM!</v>
      </c>
      <c r="O72" s="327" t="e">
        <f t="shared" ref="O72:O135" si="30">IF($C$15=1,IF(AND(O71&lt;=$C$17,M72&lt;=$C$17),M72,""),"")</f>
        <v>#NUM!</v>
      </c>
      <c r="P72" s="305"/>
      <c r="Q72" s="303">
        <f t="shared" si="29"/>
        <v>0</v>
      </c>
      <c r="R72" s="304">
        <f t="shared" si="15"/>
        <v>35</v>
      </c>
      <c r="S72" s="305" t="str">
        <f t="shared" si="22"/>
        <v/>
      </c>
      <c r="T72" s="305" t="str">
        <f t="shared" si="23"/>
        <v/>
      </c>
      <c r="U72" s="305" t="str">
        <f t="shared" si="24"/>
        <v/>
      </c>
      <c r="V72" s="305" t="str">
        <f t="shared" si="25"/>
        <v/>
      </c>
      <c r="W72" s="314" t="str">
        <f t="shared" si="26"/>
        <v/>
      </c>
      <c r="X72" s="314" t="str">
        <f t="shared" si="27"/>
        <v/>
      </c>
      <c r="Y72" s="326" t="str">
        <f t="shared" ref="Y72:Y135" si="31">IF($C$15=-1,IF(AND(Y71&lt;=$C$17,W72&lt;=$C$17),M72,""),"")</f>
        <v/>
      </c>
    </row>
    <row r="73" spans="7:25" x14ac:dyDescent="0.25">
      <c r="G73" s="303">
        <f t="shared" si="28"/>
        <v>1</v>
      </c>
      <c r="H73" s="304">
        <f t="shared" ref="H73:H136" si="32">H72+1</f>
        <v>66</v>
      </c>
      <c r="I73" s="305">
        <f t="shared" si="16"/>
        <v>66</v>
      </c>
      <c r="J73" s="305">
        <f t="shared" si="17"/>
        <v>34</v>
      </c>
      <c r="K73" s="305">
        <f t="shared" si="18"/>
        <v>39</v>
      </c>
      <c r="L73" s="305">
        <f t="shared" si="19"/>
        <v>81</v>
      </c>
      <c r="M73" s="314" t="e">
        <f t="shared" si="20"/>
        <v>#NUM!</v>
      </c>
      <c r="N73" s="305" t="e">
        <f t="shared" si="21"/>
        <v>#NUM!</v>
      </c>
      <c r="O73" s="327" t="e">
        <f t="shared" si="30"/>
        <v>#NUM!</v>
      </c>
      <c r="P73" s="305"/>
      <c r="Q73" s="303">
        <f t="shared" si="29"/>
        <v>0</v>
      </c>
      <c r="R73" s="304">
        <f t="shared" ref="R73:R136" si="33">R72-1</f>
        <v>34</v>
      </c>
      <c r="S73" s="305" t="str">
        <f t="shared" si="22"/>
        <v/>
      </c>
      <c r="T73" s="305" t="str">
        <f t="shared" si="23"/>
        <v/>
      </c>
      <c r="U73" s="305" t="str">
        <f t="shared" si="24"/>
        <v/>
      </c>
      <c r="V73" s="305" t="str">
        <f t="shared" si="25"/>
        <v/>
      </c>
      <c r="W73" s="314" t="str">
        <f t="shared" si="26"/>
        <v/>
      </c>
      <c r="X73" s="314" t="str">
        <f t="shared" si="27"/>
        <v/>
      </c>
      <c r="Y73" s="326" t="str">
        <f t="shared" si="31"/>
        <v/>
      </c>
    </row>
    <row r="74" spans="7:25" x14ac:dyDescent="0.25">
      <c r="G74" s="303">
        <f t="shared" si="28"/>
        <v>1</v>
      </c>
      <c r="H74" s="304">
        <f t="shared" si="32"/>
        <v>67</v>
      </c>
      <c r="I74" s="305">
        <f t="shared" si="16"/>
        <v>67</v>
      </c>
      <c r="J74" s="305">
        <f t="shared" si="17"/>
        <v>33</v>
      </c>
      <c r="K74" s="305">
        <f t="shared" si="18"/>
        <v>38</v>
      </c>
      <c r="L74" s="305">
        <f t="shared" si="19"/>
        <v>82</v>
      </c>
      <c r="M74" s="314" t="e">
        <f t="shared" si="20"/>
        <v>#NUM!</v>
      </c>
      <c r="N74" s="305" t="e">
        <f t="shared" si="21"/>
        <v>#NUM!</v>
      </c>
      <c r="O74" s="327" t="e">
        <f t="shared" si="30"/>
        <v>#NUM!</v>
      </c>
      <c r="P74" s="305"/>
      <c r="Q74" s="303">
        <f t="shared" si="29"/>
        <v>0</v>
      </c>
      <c r="R74" s="304">
        <f t="shared" si="33"/>
        <v>33</v>
      </c>
      <c r="S74" s="305" t="str">
        <f t="shared" si="22"/>
        <v/>
      </c>
      <c r="T74" s="305" t="str">
        <f t="shared" si="23"/>
        <v/>
      </c>
      <c r="U74" s="305" t="str">
        <f t="shared" si="24"/>
        <v/>
      </c>
      <c r="V74" s="305" t="str">
        <f t="shared" si="25"/>
        <v/>
      </c>
      <c r="W74" s="314" t="str">
        <f t="shared" si="26"/>
        <v/>
      </c>
      <c r="X74" s="314" t="str">
        <f t="shared" si="27"/>
        <v/>
      </c>
      <c r="Y74" s="326" t="str">
        <f t="shared" si="31"/>
        <v/>
      </c>
    </row>
    <row r="75" spans="7:25" x14ac:dyDescent="0.25">
      <c r="G75" s="303">
        <f t="shared" si="28"/>
        <v>1</v>
      </c>
      <c r="H75" s="304">
        <f t="shared" si="32"/>
        <v>68</v>
      </c>
      <c r="I75" s="305">
        <f t="shared" si="16"/>
        <v>68</v>
      </c>
      <c r="J75" s="305">
        <f t="shared" si="17"/>
        <v>32</v>
      </c>
      <c r="K75" s="305">
        <f t="shared" si="18"/>
        <v>37</v>
      </c>
      <c r="L75" s="305">
        <f t="shared" si="19"/>
        <v>83</v>
      </c>
      <c r="M75" s="314" t="e">
        <f t="shared" si="20"/>
        <v>#NUM!</v>
      </c>
      <c r="N75" s="305" t="e">
        <f t="shared" si="21"/>
        <v>#NUM!</v>
      </c>
      <c r="O75" s="327" t="e">
        <f t="shared" si="30"/>
        <v>#NUM!</v>
      </c>
      <c r="P75" s="305"/>
      <c r="Q75" s="303">
        <f t="shared" si="29"/>
        <v>0</v>
      </c>
      <c r="R75" s="304">
        <f t="shared" si="33"/>
        <v>32</v>
      </c>
      <c r="S75" s="305" t="str">
        <f t="shared" si="22"/>
        <v/>
      </c>
      <c r="T75" s="305" t="str">
        <f t="shared" si="23"/>
        <v/>
      </c>
      <c r="U75" s="305" t="str">
        <f t="shared" si="24"/>
        <v/>
      </c>
      <c r="V75" s="305" t="str">
        <f t="shared" si="25"/>
        <v/>
      </c>
      <c r="W75" s="314" t="str">
        <f t="shared" si="26"/>
        <v/>
      </c>
      <c r="X75" s="314" t="str">
        <f t="shared" si="27"/>
        <v/>
      </c>
      <c r="Y75" s="326" t="str">
        <f t="shared" si="31"/>
        <v/>
      </c>
    </row>
    <row r="76" spans="7:25" x14ac:dyDescent="0.25">
      <c r="G76" s="303">
        <f t="shared" si="28"/>
        <v>1</v>
      </c>
      <c r="H76" s="304">
        <f t="shared" si="32"/>
        <v>69</v>
      </c>
      <c r="I76" s="305">
        <f t="shared" si="16"/>
        <v>69</v>
      </c>
      <c r="J76" s="305">
        <f t="shared" si="17"/>
        <v>31</v>
      </c>
      <c r="K76" s="305">
        <f t="shared" si="18"/>
        <v>36</v>
      </c>
      <c r="L76" s="305">
        <f t="shared" si="19"/>
        <v>84</v>
      </c>
      <c r="M76" s="314" t="e">
        <f t="shared" si="20"/>
        <v>#NUM!</v>
      </c>
      <c r="N76" s="305" t="e">
        <f t="shared" si="21"/>
        <v>#NUM!</v>
      </c>
      <c r="O76" s="327" t="e">
        <f t="shared" si="30"/>
        <v>#NUM!</v>
      </c>
      <c r="P76" s="305"/>
      <c r="Q76" s="303">
        <f t="shared" si="29"/>
        <v>0</v>
      </c>
      <c r="R76" s="304">
        <f t="shared" si="33"/>
        <v>31</v>
      </c>
      <c r="S76" s="305" t="str">
        <f t="shared" si="22"/>
        <v/>
      </c>
      <c r="T76" s="305" t="str">
        <f t="shared" si="23"/>
        <v/>
      </c>
      <c r="U76" s="305" t="str">
        <f t="shared" si="24"/>
        <v/>
      </c>
      <c r="V76" s="305" t="str">
        <f t="shared" si="25"/>
        <v/>
      </c>
      <c r="W76" s="314" t="str">
        <f t="shared" si="26"/>
        <v/>
      </c>
      <c r="X76" s="314" t="str">
        <f t="shared" si="27"/>
        <v/>
      </c>
      <c r="Y76" s="326" t="str">
        <f t="shared" si="31"/>
        <v/>
      </c>
    </row>
    <row r="77" spans="7:25" x14ac:dyDescent="0.25">
      <c r="G77" s="303">
        <f t="shared" si="28"/>
        <v>1</v>
      </c>
      <c r="H77" s="304">
        <f t="shared" si="32"/>
        <v>70</v>
      </c>
      <c r="I77" s="305">
        <f t="shared" ref="I77:I140" si="34">IF(G77,H77,"")</f>
        <v>70</v>
      </c>
      <c r="J77" s="305">
        <f t="shared" ref="J77:J140" si="35">IF(G77,$D$5-H77,"")</f>
        <v>30</v>
      </c>
      <c r="K77" s="305">
        <f t="shared" ref="K77:K140" si="36">IF(G77,$B$7-H77,"")</f>
        <v>35</v>
      </c>
      <c r="L77" s="305">
        <f t="shared" ref="L77:L140" si="37">IF(G77,$D$7-SUM(I77:K77),"")</f>
        <v>85</v>
      </c>
      <c r="M77" s="314" t="e">
        <f t="shared" ref="M77:M140" si="38">IF(G77,M76*(K76*J76)/(L77*I77),"")</f>
        <v>#NUM!</v>
      </c>
      <c r="N77" s="305" t="e">
        <f t="shared" ref="N77:N140" si="39">IF(AND(G77=1,I77&lt;=$B$5),M77,"")</f>
        <v>#NUM!</v>
      </c>
      <c r="O77" s="327" t="e">
        <f t="shared" si="30"/>
        <v>#NUM!</v>
      </c>
      <c r="P77" s="305"/>
      <c r="Q77" s="303">
        <f t="shared" si="29"/>
        <v>0</v>
      </c>
      <c r="R77" s="304">
        <f t="shared" si="33"/>
        <v>30</v>
      </c>
      <c r="S77" s="305" t="str">
        <f t="shared" ref="S77:S140" si="40">IF(Q77,R77,"")</f>
        <v/>
      </c>
      <c r="T77" s="305" t="str">
        <f t="shared" ref="T77:T140" si="41">IF(Q77,$D$5-R77,"")</f>
        <v/>
      </c>
      <c r="U77" s="305" t="str">
        <f t="shared" ref="U77:U140" si="42">IF(Q77,$B$7-R77,"")</f>
        <v/>
      </c>
      <c r="V77" s="305" t="str">
        <f t="shared" ref="V77:V140" si="43">IF(Q77,$D$7-SUM(S77:U77),"")</f>
        <v/>
      </c>
      <c r="W77" s="314" t="str">
        <f t="shared" ref="W77:W140" si="44">IF(Q77,W76*(S76*V76)/(U77*T77),"")</f>
        <v/>
      </c>
      <c r="X77" s="314" t="str">
        <f t="shared" ref="X77:X140" si="45">IF(AND(Q77=1,S77&gt;=$B$5),W77,"")</f>
        <v/>
      </c>
      <c r="Y77" s="326" t="str">
        <f t="shared" si="31"/>
        <v/>
      </c>
    </row>
    <row r="78" spans="7:25" x14ac:dyDescent="0.25">
      <c r="G78" s="303">
        <f t="shared" si="28"/>
        <v>1</v>
      </c>
      <c r="H78" s="304">
        <f t="shared" si="32"/>
        <v>71</v>
      </c>
      <c r="I78" s="305">
        <f t="shared" si="34"/>
        <v>71</v>
      </c>
      <c r="J78" s="305">
        <f t="shared" si="35"/>
        <v>29</v>
      </c>
      <c r="K78" s="305">
        <f t="shared" si="36"/>
        <v>34</v>
      </c>
      <c r="L78" s="305">
        <f t="shared" si="37"/>
        <v>86</v>
      </c>
      <c r="M78" s="314" t="e">
        <f t="shared" si="38"/>
        <v>#NUM!</v>
      </c>
      <c r="N78" s="305" t="e">
        <f t="shared" si="39"/>
        <v>#NUM!</v>
      </c>
      <c r="O78" s="327" t="e">
        <f t="shared" si="30"/>
        <v>#NUM!</v>
      </c>
      <c r="P78" s="305"/>
      <c r="Q78" s="303">
        <f t="shared" si="29"/>
        <v>0</v>
      </c>
      <c r="R78" s="304">
        <f t="shared" si="33"/>
        <v>29</v>
      </c>
      <c r="S78" s="305" t="str">
        <f t="shared" si="40"/>
        <v/>
      </c>
      <c r="T78" s="305" t="str">
        <f t="shared" si="41"/>
        <v/>
      </c>
      <c r="U78" s="305" t="str">
        <f t="shared" si="42"/>
        <v/>
      </c>
      <c r="V78" s="305" t="str">
        <f t="shared" si="43"/>
        <v/>
      </c>
      <c r="W78" s="314" t="str">
        <f t="shared" si="44"/>
        <v/>
      </c>
      <c r="X78" s="314" t="str">
        <f t="shared" si="45"/>
        <v/>
      </c>
      <c r="Y78" s="326" t="str">
        <f t="shared" si="31"/>
        <v/>
      </c>
    </row>
    <row r="79" spans="7:25" x14ac:dyDescent="0.25">
      <c r="G79" s="303">
        <f t="shared" si="28"/>
        <v>1</v>
      </c>
      <c r="H79" s="304">
        <f t="shared" si="32"/>
        <v>72</v>
      </c>
      <c r="I79" s="305">
        <f t="shared" si="34"/>
        <v>72</v>
      </c>
      <c r="J79" s="305">
        <f t="shared" si="35"/>
        <v>28</v>
      </c>
      <c r="K79" s="305">
        <f t="shared" si="36"/>
        <v>33</v>
      </c>
      <c r="L79" s="305">
        <f t="shared" si="37"/>
        <v>87</v>
      </c>
      <c r="M79" s="314" t="e">
        <f t="shared" si="38"/>
        <v>#NUM!</v>
      </c>
      <c r="N79" s="305" t="e">
        <f t="shared" si="39"/>
        <v>#NUM!</v>
      </c>
      <c r="O79" s="327" t="e">
        <f t="shared" si="30"/>
        <v>#NUM!</v>
      </c>
      <c r="P79" s="305"/>
      <c r="Q79" s="303">
        <f t="shared" si="29"/>
        <v>0</v>
      </c>
      <c r="R79" s="304">
        <f t="shared" si="33"/>
        <v>28</v>
      </c>
      <c r="S79" s="305" t="str">
        <f t="shared" si="40"/>
        <v/>
      </c>
      <c r="T79" s="305" t="str">
        <f t="shared" si="41"/>
        <v/>
      </c>
      <c r="U79" s="305" t="str">
        <f t="shared" si="42"/>
        <v/>
      </c>
      <c r="V79" s="305" t="str">
        <f t="shared" si="43"/>
        <v/>
      </c>
      <c r="W79" s="314" t="str">
        <f t="shared" si="44"/>
        <v/>
      </c>
      <c r="X79" s="314" t="str">
        <f t="shared" si="45"/>
        <v/>
      </c>
      <c r="Y79" s="326" t="str">
        <f t="shared" si="31"/>
        <v/>
      </c>
    </row>
    <row r="80" spans="7:25" x14ac:dyDescent="0.25">
      <c r="G80" s="303">
        <f t="shared" si="28"/>
        <v>1</v>
      </c>
      <c r="H80" s="304">
        <f t="shared" si="32"/>
        <v>73</v>
      </c>
      <c r="I80" s="305">
        <f t="shared" si="34"/>
        <v>73</v>
      </c>
      <c r="J80" s="305">
        <f t="shared" si="35"/>
        <v>27</v>
      </c>
      <c r="K80" s="305">
        <f t="shared" si="36"/>
        <v>32</v>
      </c>
      <c r="L80" s="305">
        <f t="shared" si="37"/>
        <v>88</v>
      </c>
      <c r="M80" s="314" t="e">
        <f t="shared" si="38"/>
        <v>#NUM!</v>
      </c>
      <c r="N80" s="305" t="e">
        <f t="shared" si="39"/>
        <v>#NUM!</v>
      </c>
      <c r="O80" s="327" t="e">
        <f t="shared" si="30"/>
        <v>#NUM!</v>
      </c>
      <c r="P80" s="305"/>
      <c r="Q80" s="303">
        <f t="shared" si="29"/>
        <v>0</v>
      </c>
      <c r="R80" s="304">
        <f t="shared" si="33"/>
        <v>27</v>
      </c>
      <c r="S80" s="305" t="str">
        <f t="shared" si="40"/>
        <v/>
      </c>
      <c r="T80" s="305" t="str">
        <f t="shared" si="41"/>
        <v/>
      </c>
      <c r="U80" s="305" t="str">
        <f t="shared" si="42"/>
        <v/>
      </c>
      <c r="V80" s="305" t="str">
        <f t="shared" si="43"/>
        <v/>
      </c>
      <c r="W80" s="314" t="str">
        <f t="shared" si="44"/>
        <v/>
      </c>
      <c r="X80" s="314" t="str">
        <f t="shared" si="45"/>
        <v/>
      </c>
      <c r="Y80" s="326" t="str">
        <f t="shared" si="31"/>
        <v/>
      </c>
    </row>
    <row r="81" spans="7:25" x14ac:dyDescent="0.25">
      <c r="G81" s="303">
        <f t="shared" si="28"/>
        <v>1</v>
      </c>
      <c r="H81" s="304">
        <f t="shared" si="32"/>
        <v>74</v>
      </c>
      <c r="I81" s="305">
        <f t="shared" si="34"/>
        <v>74</v>
      </c>
      <c r="J81" s="305">
        <f t="shared" si="35"/>
        <v>26</v>
      </c>
      <c r="K81" s="305">
        <f t="shared" si="36"/>
        <v>31</v>
      </c>
      <c r="L81" s="305">
        <f t="shared" si="37"/>
        <v>89</v>
      </c>
      <c r="M81" s="314" t="e">
        <f t="shared" si="38"/>
        <v>#NUM!</v>
      </c>
      <c r="N81" s="305" t="e">
        <f t="shared" si="39"/>
        <v>#NUM!</v>
      </c>
      <c r="O81" s="327" t="e">
        <f t="shared" si="30"/>
        <v>#NUM!</v>
      </c>
      <c r="P81" s="305"/>
      <c r="Q81" s="303">
        <f t="shared" si="29"/>
        <v>0</v>
      </c>
      <c r="R81" s="304">
        <f t="shared" si="33"/>
        <v>26</v>
      </c>
      <c r="S81" s="305" t="str">
        <f t="shared" si="40"/>
        <v/>
      </c>
      <c r="T81" s="305" t="str">
        <f t="shared" si="41"/>
        <v/>
      </c>
      <c r="U81" s="305" t="str">
        <f t="shared" si="42"/>
        <v/>
      </c>
      <c r="V81" s="305" t="str">
        <f t="shared" si="43"/>
        <v/>
      </c>
      <c r="W81" s="314" t="str">
        <f t="shared" si="44"/>
        <v/>
      </c>
      <c r="X81" s="314" t="str">
        <f t="shared" si="45"/>
        <v/>
      </c>
      <c r="Y81" s="326" t="str">
        <f t="shared" si="31"/>
        <v/>
      </c>
    </row>
    <row r="82" spans="7:25" x14ac:dyDescent="0.25">
      <c r="G82" s="303">
        <f t="shared" si="28"/>
        <v>1</v>
      </c>
      <c r="H82" s="304">
        <f t="shared" si="32"/>
        <v>75</v>
      </c>
      <c r="I82" s="305">
        <f t="shared" si="34"/>
        <v>75</v>
      </c>
      <c r="J82" s="305">
        <f t="shared" si="35"/>
        <v>25</v>
      </c>
      <c r="K82" s="305">
        <f t="shared" si="36"/>
        <v>30</v>
      </c>
      <c r="L82" s="305">
        <f t="shared" si="37"/>
        <v>90</v>
      </c>
      <c r="M82" s="314" t="e">
        <f t="shared" si="38"/>
        <v>#NUM!</v>
      </c>
      <c r="N82" s="305" t="e">
        <f t="shared" si="39"/>
        <v>#NUM!</v>
      </c>
      <c r="O82" s="327" t="e">
        <f t="shared" si="30"/>
        <v>#NUM!</v>
      </c>
      <c r="P82" s="305"/>
      <c r="Q82" s="303">
        <f t="shared" si="29"/>
        <v>0</v>
      </c>
      <c r="R82" s="304">
        <f t="shared" si="33"/>
        <v>25</v>
      </c>
      <c r="S82" s="305" t="str">
        <f t="shared" si="40"/>
        <v/>
      </c>
      <c r="T82" s="305" t="str">
        <f t="shared" si="41"/>
        <v/>
      </c>
      <c r="U82" s="305" t="str">
        <f t="shared" si="42"/>
        <v/>
      </c>
      <c r="V82" s="305" t="str">
        <f t="shared" si="43"/>
        <v/>
      </c>
      <c r="W82" s="314" t="str">
        <f t="shared" si="44"/>
        <v/>
      </c>
      <c r="X82" s="314" t="str">
        <f t="shared" si="45"/>
        <v/>
      </c>
      <c r="Y82" s="326" t="str">
        <f t="shared" si="31"/>
        <v/>
      </c>
    </row>
    <row r="83" spans="7:25" x14ac:dyDescent="0.25">
      <c r="G83" s="303">
        <f t="shared" si="28"/>
        <v>0</v>
      </c>
      <c r="H83" s="304">
        <f t="shared" si="32"/>
        <v>76</v>
      </c>
      <c r="I83" s="305" t="str">
        <f t="shared" si="34"/>
        <v/>
      </c>
      <c r="J83" s="305" t="str">
        <f t="shared" si="35"/>
        <v/>
      </c>
      <c r="K83" s="305" t="str">
        <f t="shared" si="36"/>
        <v/>
      </c>
      <c r="L83" s="305" t="str">
        <f t="shared" si="37"/>
        <v/>
      </c>
      <c r="M83" s="314" t="str">
        <f t="shared" si="38"/>
        <v/>
      </c>
      <c r="N83" s="305" t="str">
        <f t="shared" si="39"/>
        <v/>
      </c>
      <c r="O83" s="327" t="e">
        <f t="shared" si="30"/>
        <v>#NUM!</v>
      </c>
      <c r="P83" s="305"/>
      <c r="Q83" s="303">
        <f t="shared" si="29"/>
        <v>0</v>
      </c>
      <c r="R83" s="304">
        <f t="shared" si="33"/>
        <v>24</v>
      </c>
      <c r="S83" s="305" t="str">
        <f t="shared" si="40"/>
        <v/>
      </c>
      <c r="T83" s="305" t="str">
        <f t="shared" si="41"/>
        <v/>
      </c>
      <c r="U83" s="305" t="str">
        <f t="shared" si="42"/>
        <v/>
      </c>
      <c r="V83" s="305" t="str">
        <f t="shared" si="43"/>
        <v/>
      </c>
      <c r="W83" s="314" t="str">
        <f t="shared" si="44"/>
        <v/>
      </c>
      <c r="X83" s="314" t="str">
        <f t="shared" si="45"/>
        <v/>
      </c>
      <c r="Y83" s="326" t="str">
        <f t="shared" si="31"/>
        <v/>
      </c>
    </row>
    <row r="84" spans="7:25" x14ac:dyDescent="0.25">
      <c r="G84" s="303">
        <f t="shared" si="28"/>
        <v>0</v>
      </c>
      <c r="H84" s="304">
        <f t="shared" si="32"/>
        <v>77</v>
      </c>
      <c r="I84" s="305" t="str">
        <f t="shared" si="34"/>
        <v/>
      </c>
      <c r="J84" s="305" t="str">
        <f t="shared" si="35"/>
        <v/>
      </c>
      <c r="K84" s="305" t="str">
        <f t="shared" si="36"/>
        <v/>
      </c>
      <c r="L84" s="305" t="str">
        <f t="shared" si="37"/>
        <v/>
      </c>
      <c r="M84" s="314" t="str">
        <f t="shared" si="38"/>
        <v/>
      </c>
      <c r="N84" s="305" t="str">
        <f t="shared" si="39"/>
        <v/>
      </c>
      <c r="O84" s="327" t="e">
        <f t="shared" si="30"/>
        <v>#NUM!</v>
      </c>
      <c r="P84" s="305"/>
      <c r="Q84" s="303">
        <f t="shared" si="29"/>
        <v>0</v>
      </c>
      <c r="R84" s="304">
        <f t="shared" si="33"/>
        <v>23</v>
      </c>
      <c r="S84" s="305" t="str">
        <f t="shared" si="40"/>
        <v/>
      </c>
      <c r="T84" s="305" t="str">
        <f t="shared" si="41"/>
        <v/>
      </c>
      <c r="U84" s="305" t="str">
        <f t="shared" si="42"/>
        <v/>
      </c>
      <c r="V84" s="305" t="str">
        <f t="shared" si="43"/>
        <v/>
      </c>
      <c r="W84" s="314" t="str">
        <f t="shared" si="44"/>
        <v/>
      </c>
      <c r="X84" s="314" t="str">
        <f t="shared" si="45"/>
        <v/>
      </c>
      <c r="Y84" s="326" t="str">
        <f t="shared" si="31"/>
        <v/>
      </c>
    </row>
    <row r="85" spans="7:25" x14ac:dyDescent="0.25">
      <c r="G85" s="303">
        <f t="shared" si="28"/>
        <v>0</v>
      </c>
      <c r="H85" s="304">
        <f t="shared" si="32"/>
        <v>78</v>
      </c>
      <c r="I85" s="305" t="str">
        <f t="shared" si="34"/>
        <v/>
      </c>
      <c r="J85" s="305" t="str">
        <f t="shared" si="35"/>
        <v/>
      </c>
      <c r="K85" s="305" t="str">
        <f t="shared" si="36"/>
        <v/>
      </c>
      <c r="L85" s="305" t="str">
        <f t="shared" si="37"/>
        <v/>
      </c>
      <c r="M85" s="314" t="str">
        <f t="shared" si="38"/>
        <v/>
      </c>
      <c r="N85" s="305" t="str">
        <f t="shared" si="39"/>
        <v/>
      </c>
      <c r="O85" s="327" t="e">
        <f t="shared" si="30"/>
        <v>#NUM!</v>
      </c>
      <c r="P85" s="305"/>
      <c r="Q85" s="303">
        <f t="shared" si="29"/>
        <v>0</v>
      </c>
      <c r="R85" s="304">
        <f t="shared" si="33"/>
        <v>22</v>
      </c>
      <c r="S85" s="305" t="str">
        <f t="shared" si="40"/>
        <v/>
      </c>
      <c r="T85" s="305" t="str">
        <f t="shared" si="41"/>
        <v/>
      </c>
      <c r="U85" s="305" t="str">
        <f t="shared" si="42"/>
        <v/>
      </c>
      <c r="V85" s="305" t="str">
        <f t="shared" si="43"/>
        <v/>
      </c>
      <c r="W85" s="314" t="str">
        <f t="shared" si="44"/>
        <v/>
      </c>
      <c r="X85" s="314" t="str">
        <f t="shared" si="45"/>
        <v/>
      </c>
      <c r="Y85" s="326" t="str">
        <f t="shared" si="31"/>
        <v/>
      </c>
    </row>
    <row r="86" spans="7:25" x14ac:dyDescent="0.25">
      <c r="G86" s="303">
        <f t="shared" si="28"/>
        <v>0</v>
      </c>
      <c r="H86" s="304">
        <f t="shared" si="32"/>
        <v>79</v>
      </c>
      <c r="I86" s="305" t="str">
        <f t="shared" si="34"/>
        <v/>
      </c>
      <c r="J86" s="305" t="str">
        <f t="shared" si="35"/>
        <v/>
      </c>
      <c r="K86" s="305" t="str">
        <f t="shared" si="36"/>
        <v/>
      </c>
      <c r="L86" s="305" t="str">
        <f t="shared" si="37"/>
        <v/>
      </c>
      <c r="M86" s="314" t="str">
        <f t="shared" si="38"/>
        <v/>
      </c>
      <c r="N86" s="305" t="str">
        <f t="shared" si="39"/>
        <v/>
      </c>
      <c r="O86" s="327" t="e">
        <f t="shared" si="30"/>
        <v>#NUM!</v>
      </c>
      <c r="P86" s="305"/>
      <c r="Q86" s="303">
        <f t="shared" si="29"/>
        <v>0</v>
      </c>
      <c r="R86" s="304">
        <f t="shared" si="33"/>
        <v>21</v>
      </c>
      <c r="S86" s="305" t="str">
        <f t="shared" si="40"/>
        <v/>
      </c>
      <c r="T86" s="305" t="str">
        <f t="shared" si="41"/>
        <v/>
      </c>
      <c r="U86" s="305" t="str">
        <f t="shared" si="42"/>
        <v/>
      </c>
      <c r="V86" s="305" t="str">
        <f t="shared" si="43"/>
        <v/>
      </c>
      <c r="W86" s="314" t="str">
        <f t="shared" si="44"/>
        <v/>
      </c>
      <c r="X86" s="314" t="str">
        <f t="shared" si="45"/>
        <v/>
      </c>
      <c r="Y86" s="326" t="str">
        <f t="shared" si="31"/>
        <v/>
      </c>
    </row>
    <row r="87" spans="7:25" x14ac:dyDescent="0.25">
      <c r="G87" s="303">
        <f t="shared" si="28"/>
        <v>0</v>
      </c>
      <c r="H87" s="304">
        <f t="shared" si="32"/>
        <v>80</v>
      </c>
      <c r="I87" s="305" t="str">
        <f t="shared" si="34"/>
        <v/>
      </c>
      <c r="J87" s="305" t="str">
        <f t="shared" si="35"/>
        <v/>
      </c>
      <c r="K87" s="305" t="str">
        <f t="shared" si="36"/>
        <v/>
      </c>
      <c r="L87" s="305" t="str">
        <f t="shared" si="37"/>
        <v/>
      </c>
      <c r="M87" s="314" t="str">
        <f t="shared" si="38"/>
        <v/>
      </c>
      <c r="N87" s="305" t="str">
        <f t="shared" si="39"/>
        <v/>
      </c>
      <c r="O87" s="327" t="e">
        <f t="shared" si="30"/>
        <v>#NUM!</v>
      </c>
      <c r="P87" s="305"/>
      <c r="Q87" s="303">
        <f t="shared" si="29"/>
        <v>0</v>
      </c>
      <c r="R87" s="304">
        <f t="shared" si="33"/>
        <v>20</v>
      </c>
      <c r="S87" s="305" t="str">
        <f t="shared" si="40"/>
        <v/>
      </c>
      <c r="T87" s="305" t="str">
        <f t="shared" si="41"/>
        <v/>
      </c>
      <c r="U87" s="305" t="str">
        <f t="shared" si="42"/>
        <v/>
      </c>
      <c r="V87" s="305" t="str">
        <f t="shared" si="43"/>
        <v/>
      </c>
      <c r="W87" s="314" t="str">
        <f t="shared" si="44"/>
        <v/>
      </c>
      <c r="X87" s="314" t="str">
        <f t="shared" si="45"/>
        <v/>
      </c>
      <c r="Y87" s="326" t="str">
        <f t="shared" si="31"/>
        <v/>
      </c>
    </row>
    <row r="88" spans="7:25" x14ac:dyDescent="0.25">
      <c r="G88" s="303">
        <f t="shared" si="28"/>
        <v>0</v>
      </c>
      <c r="H88" s="304">
        <f t="shared" si="32"/>
        <v>81</v>
      </c>
      <c r="I88" s="305" t="str">
        <f t="shared" si="34"/>
        <v/>
      </c>
      <c r="J88" s="305" t="str">
        <f t="shared" si="35"/>
        <v/>
      </c>
      <c r="K88" s="305" t="str">
        <f t="shared" si="36"/>
        <v/>
      </c>
      <c r="L88" s="305" t="str">
        <f t="shared" si="37"/>
        <v/>
      </c>
      <c r="M88" s="314" t="str">
        <f t="shared" si="38"/>
        <v/>
      </c>
      <c r="N88" s="305" t="str">
        <f t="shared" si="39"/>
        <v/>
      </c>
      <c r="O88" s="327" t="e">
        <f t="shared" si="30"/>
        <v>#NUM!</v>
      </c>
      <c r="P88" s="305"/>
      <c r="Q88" s="303">
        <f t="shared" si="29"/>
        <v>0</v>
      </c>
      <c r="R88" s="304">
        <f t="shared" si="33"/>
        <v>19</v>
      </c>
      <c r="S88" s="305" t="str">
        <f t="shared" si="40"/>
        <v/>
      </c>
      <c r="T88" s="305" t="str">
        <f t="shared" si="41"/>
        <v/>
      </c>
      <c r="U88" s="305" t="str">
        <f t="shared" si="42"/>
        <v/>
      </c>
      <c r="V88" s="305" t="str">
        <f t="shared" si="43"/>
        <v/>
      </c>
      <c r="W88" s="314" t="str">
        <f t="shared" si="44"/>
        <v/>
      </c>
      <c r="X88" s="314" t="str">
        <f t="shared" si="45"/>
        <v/>
      </c>
      <c r="Y88" s="326" t="str">
        <f t="shared" si="31"/>
        <v/>
      </c>
    </row>
    <row r="89" spans="7:25" x14ac:dyDescent="0.25">
      <c r="G89" s="303">
        <f t="shared" si="28"/>
        <v>0</v>
      </c>
      <c r="H89" s="304">
        <f t="shared" si="32"/>
        <v>82</v>
      </c>
      <c r="I89" s="305" t="str">
        <f t="shared" si="34"/>
        <v/>
      </c>
      <c r="J89" s="305" t="str">
        <f t="shared" si="35"/>
        <v/>
      </c>
      <c r="K89" s="305" t="str">
        <f t="shared" si="36"/>
        <v/>
      </c>
      <c r="L89" s="305" t="str">
        <f t="shared" si="37"/>
        <v/>
      </c>
      <c r="M89" s="314" t="str">
        <f t="shared" si="38"/>
        <v/>
      </c>
      <c r="N89" s="305" t="str">
        <f t="shared" si="39"/>
        <v/>
      </c>
      <c r="O89" s="327" t="e">
        <f t="shared" si="30"/>
        <v>#NUM!</v>
      </c>
      <c r="P89" s="305"/>
      <c r="Q89" s="303">
        <f t="shared" si="29"/>
        <v>0</v>
      </c>
      <c r="R89" s="304">
        <f t="shared" si="33"/>
        <v>18</v>
      </c>
      <c r="S89" s="305" t="str">
        <f t="shared" si="40"/>
        <v/>
      </c>
      <c r="T89" s="305" t="str">
        <f t="shared" si="41"/>
        <v/>
      </c>
      <c r="U89" s="305" t="str">
        <f t="shared" si="42"/>
        <v/>
      </c>
      <c r="V89" s="305" t="str">
        <f t="shared" si="43"/>
        <v/>
      </c>
      <c r="W89" s="314" t="str">
        <f t="shared" si="44"/>
        <v/>
      </c>
      <c r="X89" s="314" t="str">
        <f t="shared" si="45"/>
        <v/>
      </c>
      <c r="Y89" s="326" t="str">
        <f t="shared" si="31"/>
        <v/>
      </c>
    </row>
    <row r="90" spans="7:25" x14ac:dyDescent="0.25">
      <c r="G90" s="303">
        <f t="shared" si="28"/>
        <v>0</v>
      </c>
      <c r="H90" s="304">
        <f t="shared" si="32"/>
        <v>83</v>
      </c>
      <c r="I90" s="305" t="str">
        <f t="shared" si="34"/>
        <v/>
      </c>
      <c r="J90" s="305" t="str">
        <f t="shared" si="35"/>
        <v/>
      </c>
      <c r="K90" s="305" t="str">
        <f t="shared" si="36"/>
        <v/>
      </c>
      <c r="L90" s="305" t="str">
        <f t="shared" si="37"/>
        <v/>
      </c>
      <c r="M90" s="314" t="str">
        <f t="shared" si="38"/>
        <v/>
      </c>
      <c r="N90" s="305" t="str">
        <f t="shared" si="39"/>
        <v/>
      </c>
      <c r="O90" s="327" t="e">
        <f t="shared" si="30"/>
        <v>#NUM!</v>
      </c>
      <c r="P90" s="305"/>
      <c r="Q90" s="303">
        <f t="shared" si="29"/>
        <v>0</v>
      </c>
      <c r="R90" s="304">
        <f t="shared" si="33"/>
        <v>17</v>
      </c>
      <c r="S90" s="305" t="str">
        <f t="shared" si="40"/>
        <v/>
      </c>
      <c r="T90" s="305" t="str">
        <f t="shared" si="41"/>
        <v/>
      </c>
      <c r="U90" s="305" t="str">
        <f t="shared" si="42"/>
        <v/>
      </c>
      <c r="V90" s="305" t="str">
        <f t="shared" si="43"/>
        <v/>
      </c>
      <c r="W90" s="314" t="str">
        <f t="shared" si="44"/>
        <v/>
      </c>
      <c r="X90" s="314" t="str">
        <f t="shared" si="45"/>
        <v/>
      </c>
      <c r="Y90" s="326" t="str">
        <f t="shared" si="31"/>
        <v/>
      </c>
    </row>
    <row r="91" spans="7:25" x14ac:dyDescent="0.25">
      <c r="G91" s="303">
        <f t="shared" si="28"/>
        <v>0</v>
      </c>
      <c r="H91" s="304">
        <f t="shared" si="32"/>
        <v>84</v>
      </c>
      <c r="I91" s="305" t="str">
        <f t="shared" si="34"/>
        <v/>
      </c>
      <c r="J91" s="305" t="str">
        <f t="shared" si="35"/>
        <v/>
      </c>
      <c r="K91" s="305" t="str">
        <f t="shared" si="36"/>
        <v/>
      </c>
      <c r="L91" s="305" t="str">
        <f t="shared" si="37"/>
        <v/>
      </c>
      <c r="M91" s="314" t="str">
        <f t="shared" si="38"/>
        <v/>
      </c>
      <c r="N91" s="305" t="str">
        <f t="shared" si="39"/>
        <v/>
      </c>
      <c r="O91" s="327" t="e">
        <f t="shared" si="30"/>
        <v>#NUM!</v>
      </c>
      <c r="P91" s="305"/>
      <c r="Q91" s="303">
        <f t="shared" si="29"/>
        <v>0</v>
      </c>
      <c r="R91" s="304">
        <f t="shared" si="33"/>
        <v>16</v>
      </c>
      <c r="S91" s="305" t="str">
        <f t="shared" si="40"/>
        <v/>
      </c>
      <c r="T91" s="305" t="str">
        <f t="shared" si="41"/>
        <v/>
      </c>
      <c r="U91" s="305" t="str">
        <f t="shared" si="42"/>
        <v/>
      </c>
      <c r="V91" s="305" t="str">
        <f t="shared" si="43"/>
        <v/>
      </c>
      <c r="W91" s="314" t="str">
        <f t="shared" si="44"/>
        <v/>
      </c>
      <c r="X91" s="314" t="str">
        <f t="shared" si="45"/>
        <v/>
      </c>
      <c r="Y91" s="326" t="str">
        <f t="shared" si="31"/>
        <v/>
      </c>
    </row>
    <row r="92" spans="7:25" x14ac:dyDescent="0.25">
      <c r="G92" s="303">
        <f t="shared" si="28"/>
        <v>0</v>
      </c>
      <c r="H92" s="304">
        <f t="shared" si="32"/>
        <v>85</v>
      </c>
      <c r="I92" s="305" t="str">
        <f t="shared" si="34"/>
        <v/>
      </c>
      <c r="J92" s="305" t="str">
        <f t="shared" si="35"/>
        <v/>
      </c>
      <c r="K92" s="305" t="str">
        <f t="shared" si="36"/>
        <v/>
      </c>
      <c r="L92" s="305" t="str">
        <f t="shared" si="37"/>
        <v/>
      </c>
      <c r="M92" s="314" t="str">
        <f t="shared" si="38"/>
        <v/>
      </c>
      <c r="N92" s="305" t="str">
        <f t="shared" si="39"/>
        <v/>
      </c>
      <c r="O92" s="327" t="e">
        <f t="shared" si="30"/>
        <v>#NUM!</v>
      </c>
      <c r="P92" s="305"/>
      <c r="Q92" s="303">
        <f t="shared" si="29"/>
        <v>0</v>
      </c>
      <c r="R92" s="304">
        <f t="shared" si="33"/>
        <v>15</v>
      </c>
      <c r="S92" s="305" t="str">
        <f t="shared" si="40"/>
        <v/>
      </c>
      <c r="T92" s="305" t="str">
        <f t="shared" si="41"/>
        <v/>
      </c>
      <c r="U92" s="305" t="str">
        <f t="shared" si="42"/>
        <v/>
      </c>
      <c r="V92" s="305" t="str">
        <f t="shared" si="43"/>
        <v/>
      </c>
      <c r="W92" s="314" t="str">
        <f t="shared" si="44"/>
        <v/>
      </c>
      <c r="X92" s="314" t="str">
        <f t="shared" si="45"/>
        <v/>
      </c>
      <c r="Y92" s="326" t="str">
        <f t="shared" si="31"/>
        <v/>
      </c>
    </row>
    <row r="93" spans="7:25" x14ac:dyDescent="0.25">
      <c r="G93" s="303">
        <f t="shared" si="28"/>
        <v>0</v>
      </c>
      <c r="H93" s="304">
        <f t="shared" si="32"/>
        <v>86</v>
      </c>
      <c r="I93" s="305" t="str">
        <f t="shared" si="34"/>
        <v/>
      </c>
      <c r="J93" s="305" t="str">
        <f t="shared" si="35"/>
        <v/>
      </c>
      <c r="K93" s="305" t="str">
        <f t="shared" si="36"/>
        <v/>
      </c>
      <c r="L93" s="305" t="str">
        <f t="shared" si="37"/>
        <v/>
      </c>
      <c r="M93" s="314" t="str">
        <f t="shared" si="38"/>
        <v/>
      </c>
      <c r="N93" s="305" t="str">
        <f t="shared" si="39"/>
        <v/>
      </c>
      <c r="O93" s="327" t="e">
        <f t="shared" si="30"/>
        <v>#NUM!</v>
      </c>
      <c r="P93" s="305"/>
      <c r="Q93" s="303">
        <f t="shared" si="29"/>
        <v>0</v>
      </c>
      <c r="R93" s="304">
        <f t="shared" si="33"/>
        <v>14</v>
      </c>
      <c r="S93" s="305" t="str">
        <f t="shared" si="40"/>
        <v/>
      </c>
      <c r="T93" s="305" t="str">
        <f t="shared" si="41"/>
        <v/>
      </c>
      <c r="U93" s="305" t="str">
        <f t="shared" si="42"/>
        <v/>
      </c>
      <c r="V93" s="305" t="str">
        <f t="shared" si="43"/>
        <v/>
      </c>
      <c r="W93" s="314" t="str">
        <f t="shared" si="44"/>
        <v/>
      </c>
      <c r="X93" s="314" t="str">
        <f t="shared" si="45"/>
        <v/>
      </c>
      <c r="Y93" s="326" t="str">
        <f t="shared" si="31"/>
        <v/>
      </c>
    </row>
    <row r="94" spans="7:25" x14ac:dyDescent="0.25">
      <c r="G94" s="303">
        <f t="shared" si="28"/>
        <v>0</v>
      </c>
      <c r="H94" s="304">
        <f t="shared" si="32"/>
        <v>87</v>
      </c>
      <c r="I94" s="305" t="str">
        <f t="shared" si="34"/>
        <v/>
      </c>
      <c r="J94" s="305" t="str">
        <f t="shared" si="35"/>
        <v/>
      </c>
      <c r="K94" s="305" t="str">
        <f t="shared" si="36"/>
        <v/>
      </c>
      <c r="L94" s="305" t="str">
        <f t="shared" si="37"/>
        <v/>
      </c>
      <c r="M94" s="314" t="str">
        <f t="shared" si="38"/>
        <v/>
      </c>
      <c r="N94" s="305" t="str">
        <f t="shared" si="39"/>
        <v/>
      </c>
      <c r="O94" s="327" t="e">
        <f t="shared" si="30"/>
        <v>#NUM!</v>
      </c>
      <c r="P94" s="305"/>
      <c r="Q94" s="303">
        <f t="shared" si="29"/>
        <v>0</v>
      </c>
      <c r="R94" s="304">
        <f t="shared" si="33"/>
        <v>13</v>
      </c>
      <c r="S94" s="305" t="str">
        <f t="shared" si="40"/>
        <v/>
      </c>
      <c r="T94" s="305" t="str">
        <f t="shared" si="41"/>
        <v/>
      </c>
      <c r="U94" s="305" t="str">
        <f t="shared" si="42"/>
        <v/>
      </c>
      <c r="V94" s="305" t="str">
        <f t="shared" si="43"/>
        <v/>
      </c>
      <c r="W94" s="314" t="str">
        <f t="shared" si="44"/>
        <v/>
      </c>
      <c r="X94" s="314" t="str">
        <f t="shared" si="45"/>
        <v/>
      </c>
      <c r="Y94" s="326" t="str">
        <f t="shared" si="31"/>
        <v/>
      </c>
    </row>
    <row r="95" spans="7:25" x14ac:dyDescent="0.25">
      <c r="G95" s="303">
        <f t="shared" si="28"/>
        <v>0</v>
      </c>
      <c r="H95" s="304">
        <f t="shared" si="32"/>
        <v>88</v>
      </c>
      <c r="I95" s="305" t="str">
        <f t="shared" si="34"/>
        <v/>
      </c>
      <c r="J95" s="305" t="str">
        <f t="shared" si="35"/>
        <v/>
      </c>
      <c r="K95" s="305" t="str">
        <f t="shared" si="36"/>
        <v/>
      </c>
      <c r="L95" s="305" t="str">
        <f t="shared" si="37"/>
        <v/>
      </c>
      <c r="M95" s="314" t="str">
        <f t="shared" si="38"/>
        <v/>
      </c>
      <c r="N95" s="305" t="str">
        <f t="shared" si="39"/>
        <v/>
      </c>
      <c r="O95" s="327" t="e">
        <f t="shared" si="30"/>
        <v>#NUM!</v>
      </c>
      <c r="P95" s="305"/>
      <c r="Q95" s="303">
        <f t="shared" si="29"/>
        <v>0</v>
      </c>
      <c r="R95" s="304">
        <f t="shared" si="33"/>
        <v>12</v>
      </c>
      <c r="S95" s="305" t="str">
        <f t="shared" si="40"/>
        <v/>
      </c>
      <c r="T95" s="305" t="str">
        <f t="shared" si="41"/>
        <v/>
      </c>
      <c r="U95" s="305" t="str">
        <f t="shared" si="42"/>
        <v/>
      </c>
      <c r="V95" s="305" t="str">
        <f t="shared" si="43"/>
        <v/>
      </c>
      <c r="W95" s="314" t="str">
        <f t="shared" si="44"/>
        <v/>
      </c>
      <c r="X95" s="314" t="str">
        <f t="shared" si="45"/>
        <v/>
      </c>
      <c r="Y95" s="326" t="str">
        <f t="shared" si="31"/>
        <v/>
      </c>
    </row>
    <row r="96" spans="7:25" x14ac:dyDescent="0.25">
      <c r="G96" s="303">
        <f t="shared" si="28"/>
        <v>0</v>
      </c>
      <c r="H96" s="304">
        <f t="shared" si="32"/>
        <v>89</v>
      </c>
      <c r="I96" s="305" t="str">
        <f t="shared" si="34"/>
        <v/>
      </c>
      <c r="J96" s="305" t="str">
        <f t="shared" si="35"/>
        <v/>
      </c>
      <c r="K96" s="305" t="str">
        <f t="shared" si="36"/>
        <v/>
      </c>
      <c r="L96" s="305" t="str">
        <f t="shared" si="37"/>
        <v/>
      </c>
      <c r="M96" s="314" t="str">
        <f t="shared" si="38"/>
        <v/>
      </c>
      <c r="N96" s="305" t="str">
        <f t="shared" si="39"/>
        <v/>
      </c>
      <c r="O96" s="327" t="e">
        <f t="shared" si="30"/>
        <v>#NUM!</v>
      </c>
      <c r="P96" s="305"/>
      <c r="Q96" s="303">
        <f t="shared" si="29"/>
        <v>0</v>
      </c>
      <c r="R96" s="304">
        <f t="shared" si="33"/>
        <v>11</v>
      </c>
      <c r="S96" s="305" t="str">
        <f t="shared" si="40"/>
        <v/>
      </c>
      <c r="T96" s="305" t="str">
        <f t="shared" si="41"/>
        <v/>
      </c>
      <c r="U96" s="305" t="str">
        <f t="shared" si="42"/>
        <v/>
      </c>
      <c r="V96" s="305" t="str">
        <f t="shared" si="43"/>
        <v/>
      </c>
      <c r="W96" s="314" t="str">
        <f t="shared" si="44"/>
        <v/>
      </c>
      <c r="X96" s="314" t="str">
        <f t="shared" si="45"/>
        <v/>
      </c>
      <c r="Y96" s="326" t="str">
        <f t="shared" si="31"/>
        <v/>
      </c>
    </row>
    <row r="97" spans="7:25" x14ac:dyDescent="0.25">
      <c r="G97" s="303">
        <f t="shared" si="28"/>
        <v>0</v>
      </c>
      <c r="H97" s="304">
        <f t="shared" si="32"/>
        <v>90</v>
      </c>
      <c r="I97" s="305" t="str">
        <f t="shared" si="34"/>
        <v/>
      </c>
      <c r="J97" s="305" t="str">
        <f t="shared" si="35"/>
        <v/>
      </c>
      <c r="K97" s="305" t="str">
        <f t="shared" si="36"/>
        <v/>
      </c>
      <c r="L97" s="305" t="str">
        <f t="shared" si="37"/>
        <v/>
      </c>
      <c r="M97" s="314" t="str">
        <f t="shared" si="38"/>
        <v/>
      </c>
      <c r="N97" s="305" t="str">
        <f t="shared" si="39"/>
        <v/>
      </c>
      <c r="O97" s="327" t="e">
        <f t="shared" si="30"/>
        <v>#NUM!</v>
      </c>
      <c r="P97" s="305"/>
      <c r="Q97" s="303">
        <f t="shared" si="29"/>
        <v>0</v>
      </c>
      <c r="R97" s="304">
        <f t="shared" si="33"/>
        <v>10</v>
      </c>
      <c r="S97" s="305" t="str">
        <f t="shared" si="40"/>
        <v/>
      </c>
      <c r="T97" s="305" t="str">
        <f t="shared" si="41"/>
        <v/>
      </c>
      <c r="U97" s="305" t="str">
        <f t="shared" si="42"/>
        <v/>
      </c>
      <c r="V97" s="305" t="str">
        <f t="shared" si="43"/>
        <v/>
      </c>
      <c r="W97" s="314" t="str">
        <f t="shared" si="44"/>
        <v/>
      </c>
      <c r="X97" s="314" t="str">
        <f t="shared" si="45"/>
        <v/>
      </c>
      <c r="Y97" s="326" t="str">
        <f t="shared" si="31"/>
        <v/>
      </c>
    </row>
    <row r="98" spans="7:25" x14ac:dyDescent="0.25">
      <c r="G98" s="303">
        <f t="shared" si="28"/>
        <v>0</v>
      </c>
      <c r="H98" s="304">
        <f t="shared" si="32"/>
        <v>91</v>
      </c>
      <c r="I98" s="305" t="str">
        <f t="shared" si="34"/>
        <v/>
      </c>
      <c r="J98" s="305" t="str">
        <f t="shared" si="35"/>
        <v/>
      </c>
      <c r="K98" s="305" t="str">
        <f t="shared" si="36"/>
        <v/>
      </c>
      <c r="L98" s="305" t="str">
        <f t="shared" si="37"/>
        <v/>
      </c>
      <c r="M98" s="314" t="str">
        <f t="shared" si="38"/>
        <v/>
      </c>
      <c r="N98" s="305" t="str">
        <f t="shared" si="39"/>
        <v/>
      </c>
      <c r="O98" s="327" t="e">
        <f t="shared" si="30"/>
        <v>#NUM!</v>
      </c>
      <c r="P98" s="305"/>
      <c r="Q98" s="303">
        <f t="shared" si="29"/>
        <v>0</v>
      </c>
      <c r="R98" s="304">
        <f t="shared" si="33"/>
        <v>9</v>
      </c>
      <c r="S98" s="305" t="str">
        <f t="shared" si="40"/>
        <v/>
      </c>
      <c r="T98" s="305" t="str">
        <f t="shared" si="41"/>
        <v/>
      </c>
      <c r="U98" s="305" t="str">
        <f t="shared" si="42"/>
        <v/>
      </c>
      <c r="V98" s="305" t="str">
        <f t="shared" si="43"/>
        <v/>
      </c>
      <c r="W98" s="314" t="str">
        <f t="shared" si="44"/>
        <v/>
      </c>
      <c r="X98" s="314" t="str">
        <f t="shared" si="45"/>
        <v/>
      </c>
      <c r="Y98" s="326" t="str">
        <f t="shared" si="31"/>
        <v/>
      </c>
    </row>
    <row r="99" spans="7:25" x14ac:dyDescent="0.25">
      <c r="G99" s="303">
        <f t="shared" si="28"/>
        <v>0</v>
      </c>
      <c r="H99" s="304">
        <f t="shared" si="32"/>
        <v>92</v>
      </c>
      <c r="I99" s="305" t="str">
        <f t="shared" si="34"/>
        <v/>
      </c>
      <c r="J99" s="305" t="str">
        <f t="shared" si="35"/>
        <v/>
      </c>
      <c r="K99" s="305" t="str">
        <f t="shared" si="36"/>
        <v/>
      </c>
      <c r="L99" s="305" t="str">
        <f t="shared" si="37"/>
        <v/>
      </c>
      <c r="M99" s="314" t="str">
        <f t="shared" si="38"/>
        <v/>
      </c>
      <c r="N99" s="305" t="str">
        <f t="shared" si="39"/>
        <v/>
      </c>
      <c r="O99" s="327" t="e">
        <f t="shared" si="30"/>
        <v>#NUM!</v>
      </c>
      <c r="P99" s="305"/>
      <c r="Q99" s="303">
        <f t="shared" si="29"/>
        <v>0</v>
      </c>
      <c r="R99" s="304">
        <f t="shared" si="33"/>
        <v>8</v>
      </c>
      <c r="S99" s="305" t="str">
        <f t="shared" si="40"/>
        <v/>
      </c>
      <c r="T99" s="305" t="str">
        <f t="shared" si="41"/>
        <v/>
      </c>
      <c r="U99" s="305" t="str">
        <f t="shared" si="42"/>
        <v/>
      </c>
      <c r="V99" s="305" t="str">
        <f t="shared" si="43"/>
        <v/>
      </c>
      <c r="W99" s="314" t="str">
        <f t="shared" si="44"/>
        <v/>
      </c>
      <c r="X99" s="314" t="str">
        <f t="shared" si="45"/>
        <v/>
      </c>
      <c r="Y99" s="326" t="str">
        <f t="shared" si="31"/>
        <v/>
      </c>
    </row>
    <row r="100" spans="7:25" x14ac:dyDescent="0.25">
      <c r="G100" s="303">
        <f t="shared" si="28"/>
        <v>0</v>
      </c>
      <c r="H100" s="304">
        <f t="shared" si="32"/>
        <v>93</v>
      </c>
      <c r="I100" s="305" t="str">
        <f t="shared" si="34"/>
        <v/>
      </c>
      <c r="J100" s="305" t="str">
        <f t="shared" si="35"/>
        <v/>
      </c>
      <c r="K100" s="305" t="str">
        <f t="shared" si="36"/>
        <v/>
      </c>
      <c r="L100" s="305" t="str">
        <f t="shared" si="37"/>
        <v/>
      </c>
      <c r="M100" s="314" t="str">
        <f t="shared" si="38"/>
        <v/>
      </c>
      <c r="N100" s="305" t="str">
        <f t="shared" si="39"/>
        <v/>
      </c>
      <c r="O100" s="327" t="e">
        <f t="shared" si="30"/>
        <v>#NUM!</v>
      </c>
      <c r="P100" s="305"/>
      <c r="Q100" s="303">
        <f t="shared" si="29"/>
        <v>0</v>
      </c>
      <c r="R100" s="304">
        <f t="shared" si="33"/>
        <v>7</v>
      </c>
      <c r="S100" s="305" t="str">
        <f t="shared" si="40"/>
        <v/>
      </c>
      <c r="T100" s="305" t="str">
        <f t="shared" si="41"/>
        <v/>
      </c>
      <c r="U100" s="305" t="str">
        <f t="shared" si="42"/>
        <v/>
      </c>
      <c r="V100" s="305" t="str">
        <f t="shared" si="43"/>
        <v/>
      </c>
      <c r="W100" s="314" t="str">
        <f t="shared" si="44"/>
        <v/>
      </c>
      <c r="X100" s="314" t="str">
        <f t="shared" si="45"/>
        <v/>
      </c>
      <c r="Y100" s="326" t="str">
        <f t="shared" si="31"/>
        <v/>
      </c>
    </row>
    <row r="101" spans="7:25" x14ac:dyDescent="0.25">
      <c r="G101" s="303">
        <f t="shared" si="28"/>
        <v>0</v>
      </c>
      <c r="H101" s="304">
        <f t="shared" si="32"/>
        <v>94</v>
      </c>
      <c r="I101" s="305" t="str">
        <f t="shared" si="34"/>
        <v/>
      </c>
      <c r="J101" s="305" t="str">
        <f t="shared" si="35"/>
        <v/>
      </c>
      <c r="K101" s="305" t="str">
        <f t="shared" si="36"/>
        <v/>
      </c>
      <c r="L101" s="305" t="str">
        <f t="shared" si="37"/>
        <v/>
      </c>
      <c r="M101" s="314" t="str">
        <f t="shared" si="38"/>
        <v/>
      </c>
      <c r="N101" s="305" t="str">
        <f t="shared" si="39"/>
        <v/>
      </c>
      <c r="O101" s="327" t="e">
        <f t="shared" si="30"/>
        <v>#NUM!</v>
      </c>
      <c r="P101" s="305"/>
      <c r="Q101" s="303">
        <f t="shared" si="29"/>
        <v>0</v>
      </c>
      <c r="R101" s="304">
        <f t="shared" si="33"/>
        <v>6</v>
      </c>
      <c r="S101" s="305" t="str">
        <f t="shared" si="40"/>
        <v/>
      </c>
      <c r="T101" s="305" t="str">
        <f t="shared" si="41"/>
        <v/>
      </c>
      <c r="U101" s="305" t="str">
        <f t="shared" si="42"/>
        <v/>
      </c>
      <c r="V101" s="305" t="str">
        <f t="shared" si="43"/>
        <v/>
      </c>
      <c r="W101" s="314" t="str">
        <f t="shared" si="44"/>
        <v/>
      </c>
      <c r="X101" s="314" t="str">
        <f t="shared" si="45"/>
        <v/>
      </c>
      <c r="Y101" s="326" t="str">
        <f t="shared" si="31"/>
        <v/>
      </c>
    </row>
    <row r="102" spans="7:25" x14ac:dyDescent="0.25">
      <c r="G102" s="303">
        <f t="shared" si="28"/>
        <v>0</v>
      </c>
      <c r="H102" s="304">
        <f t="shared" si="32"/>
        <v>95</v>
      </c>
      <c r="I102" s="305" t="str">
        <f t="shared" si="34"/>
        <v/>
      </c>
      <c r="J102" s="305" t="str">
        <f t="shared" si="35"/>
        <v/>
      </c>
      <c r="K102" s="305" t="str">
        <f t="shared" si="36"/>
        <v/>
      </c>
      <c r="L102" s="305" t="str">
        <f t="shared" si="37"/>
        <v/>
      </c>
      <c r="M102" s="314" t="str">
        <f t="shared" si="38"/>
        <v/>
      </c>
      <c r="N102" s="305" t="str">
        <f t="shared" si="39"/>
        <v/>
      </c>
      <c r="O102" s="327" t="e">
        <f t="shared" si="30"/>
        <v>#NUM!</v>
      </c>
      <c r="P102" s="305"/>
      <c r="Q102" s="303">
        <f t="shared" si="29"/>
        <v>0</v>
      </c>
      <c r="R102" s="304">
        <f t="shared" si="33"/>
        <v>5</v>
      </c>
      <c r="S102" s="305" t="str">
        <f t="shared" si="40"/>
        <v/>
      </c>
      <c r="T102" s="305" t="str">
        <f t="shared" si="41"/>
        <v/>
      </c>
      <c r="U102" s="305" t="str">
        <f t="shared" si="42"/>
        <v/>
      </c>
      <c r="V102" s="305" t="str">
        <f t="shared" si="43"/>
        <v/>
      </c>
      <c r="W102" s="314" t="str">
        <f t="shared" si="44"/>
        <v/>
      </c>
      <c r="X102" s="314" t="str">
        <f t="shared" si="45"/>
        <v/>
      </c>
      <c r="Y102" s="326" t="str">
        <f t="shared" si="31"/>
        <v/>
      </c>
    </row>
    <row r="103" spans="7:25" x14ac:dyDescent="0.25">
      <c r="G103" s="303">
        <f t="shared" si="28"/>
        <v>0</v>
      </c>
      <c r="H103" s="304">
        <f t="shared" si="32"/>
        <v>96</v>
      </c>
      <c r="I103" s="305" t="str">
        <f t="shared" si="34"/>
        <v/>
      </c>
      <c r="J103" s="305" t="str">
        <f t="shared" si="35"/>
        <v/>
      </c>
      <c r="K103" s="305" t="str">
        <f t="shared" si="36"/>
        <v/>
      </c>
      <c r="L103" s="305" t="str">
        <f t="shared" si="37"/>
        <v/>
      </c>
      <c r="M103" s="314" t="str">
        <f t="shared" si="38"/>
        <v/>
      </c>
      <c r="N103" s="305" t="str">
        <f t="shared" si="39"/>
        <v/>
      </c>
      <c r="O103" s="327" t="e">
        <f t="shared" si="30"/>
        <v>#NUM!</v>
      </c>
      <c r="P103" s="305"/>
      <c r="Q103" s="303">
        <f t="shared" si="29"/>
        <v>0</v>
      </c>
      <c r="R103" s="304">
        <f t="shared" si="33"/>
        <v>4</v>
      </c>
      <c r="S103" s="305" t="str">
        <f t="shared" si="40"/>
        <v/>
      </c>
      <c r="T103" s="305" t="str">
        <f t="shared" si="41"/>
        <v/>
      </c>
      <c r="U103" s="305" t="str">
        <f t="shared" si="42"/>
        <v/>
      </c>
      <c r="V103" s="305" t="str">
        <f t="shared" si="43"/>
        <v/>
      </c>
      <c r="W103" s="314" t="str">
        <f t="shared" si="44"/>
        <v/>
      </c>
      <c r="X103" s="314" t="str">
        <f t="shared" si="45"/>
        <v/>
      </c>
      <c r="Y103" s="326" t="str">
        <f t="shared" si="31"/>
        <v/>
      </c>
    </row>
    <row r="104" spans="7:25" x14ac:dyDescent="0.25">
      <c r="G104" s="303">
        <f t="shared" si="28"/>
        <v>0</v>
      </c>
      <c r="H104" s="304">
        <f t="shared" si="32"/>
        <v>97</v>
      </c>
      <c r="I104" s="305" t="str">
        <f t="shared" si="34"/>
        <v/>
      </c>
      <c r="J104" s="305" t="str">
        <f t="shared" si="35"/>
        <v/>
      </c>
      <c r="K104" s="305" t="str">
        <f t="shared" si="36"/>
        <v/>
      </c>
      <c r="L104" s="305" t="str">
        <f t="shared" si="37"/>
        <v/>
      </c>
      <c r="M104" s="314" t="str">
        <f t="shared" si="38"/>
        <v/>
      </c>
      <c r="N104" s="305" t="str">
        <f t="shared" si="39"/>
        <v/>
      </c>
      <c r="O104" s="327" t="e">
        <f t="shared" si="30"/>
        <v>#NUM!</v>
      </c>
      <c r="P104" s="305"/>
      <c r="Q104" s="303">
        <f t="shared" si="29"/>
        <v>0</v>
      </c>
      <c r="R104" s="304">
        <f t="shared" si="33"/>
        <v>3</v>
      </c>
      <c r="S104" s="305" t="str">
        <f t="shared" si="40"/>
        <v/>
      </c>
      <c r="T104" s="305" t="str">
        <f t="shared" si="41"/>
        <v/>
      </c>
      <c r="U104" s="305" t="str">
        <f t="shared" si="42"/>
        <v/>
      </c>
      <c r="V104" s="305" t="str">
        <f t="shared" si="43"/>
        <v/>
      </c>
      <c r="W104" s="314" t="str">
        <f t="shared" si="44"/>
        <v/>
      </c>
      <c r="X104" s="314" t="str">
        <f t="shared" si="45"/>
        <v/>
      </c>
      <c r="Y104" s="326" t="str">
        <f t="shared" si="31"/>
        <v/>
      </c>
    </row>
    <row r="105" spans="7:25" x14ac:dyDescent="0.25">
      <c r="G105" s="303">
        <f t="shared" si="28"/>
        <v>0</v>
      </c>
      <c r="H105" s="304">
        <f t="shared" si="32"/>
        <v>98</v>
      </c>
      <c r="I105" s="305" t="str">
        <f t="shared" si="34"/>
        <v/>
      </c>
      <c r="J105" s="305" t="str">
        <f t="shared" si="35"/>
        <v/>
      </c>
      <c r="K105" s="305" t="str">
        <f t="shared" si="36"/>
        <v/>
      </c>
      <c r="L105" s="305" t="str">
        <f t="shared" si="37"/>
        <v/>
      </c>
      <c r="M105" s="314" t="str">
        <f t="shared" si="38"/>
        <v/>
      </c>
      <c r="N105" s="305" t="str">
        <f t="shared" si="39"/>
        <v/>
      </c>
      <c r="O105" s="327" t="e">
        <f t="shared" si="30"/>
        <v>#NUM!</v>
      </c>
      <c r="P105" s="305"/>
      <c r="Q105" s="303">
        <f t="shared" si="29"/>
        <v>0</v>
      </c>
      <c r="R105" s="304">
        <f t="shared" si="33"/>
        <v>2</v>
      </c>
      <c r="S105" s="305" t="str">
        <f t="shared" si="40"/>
        <v/>
      </c>
      <c r="T105" s="305" t="str">
        <f t="shared" si="41"/>
        <v/>
      </c>
      <c r="U105" s="305" t="str">
        <f t="shared" si="42"/>
        <v/>
      </c>
      <c r="V105" s="305" t="str">
        <f t="shared" si="43"/>
        <v/>
      </c>
      <c r="W105" s="314" t="str">
        <f t="shared" si="44"/>
        <v/>
      </c>
      <c r="X105" s="314" t="str">
        <f t="shared" si="45"/>
        <v/>
      </c>
      <c r="Y105" s="326" t="str">
        <f t="shared" si="31"/>
        <v/>
      </c>
    </row>
    <row r="106" spans="7:25" x14ac:dyDescent="0.25">
      <c r="G106" s="303">
        <f t="shared" si="28"/>
        <v>0</v>
      </c>
      <c r="H106" s="304">
        <f t="shared" si="32"/>
        <v>99</v>
      </c>
      <c r="I106" s="305" t="str">
        <f t="shared" si="34"/>
        <v/>
      </c>
      <c r="J106" s="305" t="str">
        <f t="shared" si="35"/>
        <v/>
      </c>
      <c r="K106" s="305" t="str">
        <f t="shared" si="36"/>
        <v/>
      </c>
      <c r="L106" s="305" t="str">
        <f t="shared" si="37"/>
        <v/>
      </c>
      <c r="M106" s="314" t="str">
        <f t="shared" si="38"/>
        <v/>
      </c>
      <c r="N106" s="305" t="str">
        <f t="shared" si="39"/>
        <v/>
      </c>
      <c r="O106" s="327" t="e">
        <f t="shared" si="30"/>
        <v>#NUM!</v>
      </c>
      <c r="P106" s="305"/>
      <c r="Q106" s="303">
        <f t="shared" si="29"/>
        <v>0</v>
      </c>
      <c r="R106" s="304">
        <f t="shared" si="33"/>
        <v>1</v>
      </c>
      <c r="S106" s="305" t="str">
        <f t="shared" si="40"/>
        <v/>
      </c>
      <c r="T106" s="305" t="str">
        <f t="shared" si="41"/>
        <v/>
      </c>
      <c r="U106" s="305" t="str">
        <f t="shared" si="42"/>
        <v/>
      </c>
      <c r="V106" s="305" t="str">
        <f t="shared" si="43"/>
        <v/>
      </c>
      <c r="W106" s="314" t="str">
        <f t="shared" si="44"/>
        <v/>
      </c>
      <c r="X106" s="314" t="str">
        <f t="shared" si="45"/>
        <v/>
      </c>
      <c r="Y106" s="326" t="str">
        <f t="shared" si="31"/>
        <v/>
      </c>
    </row>
    <row r="107" spans="7:25" x14ac:dyDescent="0.25">
      <c r="G107" s="303">
        <f t="shared" si="28"/>
        <v>0</v>
      </c>
      <c r="H107" s="304">
        <f t="shared" si="32"/>
        <v>100</v>
      </c>
      <c r="I107" s="305" t="str">
        <f t="shared" si="34"/>
        <v/>
      </c>
      <c r="J107" s="305" t="str">
        <f t="shared" si="35"/>
        <v/>
      </c>
      <c r="K107" s="305" t="str">
        <f t="shared" si="36"/>
        <v/>
      </c>
      <c r="L107" s="305" t="str">
        <f t="shared" si="37"/>
        <v/>
      </c>
      <c r="M107" s="314" t="str">
        <f t="shared" si="38"/>
        <v/>
      </c>
      <c r="N107" s="305" t="str">
        <f t="shared" si="39"/>
        <v/>
      </c>
      <c r="O107" s="327" t="e">
        <f t="shared" si="30"/>
        <v>#NUM!</v>
      </c>
      <c r="P107" s="305"/>
      <c r="Q107" s="303">
        <f t="shared" si="29"/>
        <v>0</v>
      </c>
      <c r="R107" s="304">
        <f t="shared" si="33"/>
        <v>0</v>
      </c>
      <c r="S107" s="305" t="str">
        <f t="shared" si="40"/>
        <v/>
      </c>
      <c r="T107" s="305" t="str">
        <f t="shared" si="41"/>
        <v/>
      </c>
      <c r="U107" s="305" t="str">
        <f t="shared" si="42"/>
        <v/>
      </c>
      <c r="V107" s="305" t="str">
        <f t="shared" si="43"/>
        <v/>
      </c>
      <c r="W107" s="314" t="str">
        <f t="shared" si="44"/>
        <v/>
      </c>
      <c r="X107" s="314" t="str">
        <f t="shared" si="45"/>
        <v/>
      </c>
      <c r="Y107" s="326" t="str">
        <f t="shared" si="31"/>
        <v/>
      </c>
    </row>
    <row r="108" spans="7:25" x14ac:dyDescent="0.25">
      <c r="G108" s="303">
        <f t="shared" si="28"/>
        <v>0</v>
      </c>
      <c r="H108" s="304">
        <f t="shared" si="32"/>
        <v>101</v>
      </c>
      <c r="I108" s="305" t="str">
        <f t="shared" si="34"/>
        <v/>
      </c>
      <c r="J108" s="305" t="str">
        <f t="shared" si="35"/>
        <v/>
      </c>
      <c r="K108" s="305" t="str">
        <f t="shared" si="36"/>
        <v/>
      </c>
      <c r="L108" s="305" t="str">
        <f t="shared" si="37"/>
        <v/>
      </c>
      <c r="M108" s="314" t="str">
        <f t="shared" si="38"/>
        <v/>
      </c>
      <c r="N108" s="305" t="str">
        <f t="shared" si="39"/>
        <v/>
      </c>
      <c r="O108" s="327" t="e">
        <f t="shared" si="30"/>
        <v>#NUM!</v>
      </c>
      <c r="P108" s="305"/>
      <c r="Q108" s="303">
        <f t="shared" si="29"/>
        <v>0</v>
      </c>
      <c r="R108" s="304">
        <f t="shared" si="33"/>
        <v>-1</v>
      </c>
      <c r="S108" s="305" t="str">
        <f t="shared" si="40"/>
        <v/>
      </c>
      <c r="T108" s="305" t="str">
        <f t="shared" si="41"/>
        <v/>
      </c>
      <c r="U108" s="305" t="str">
        <f t="shared" si="42"/>
        <v/>
      </c>
      <c r="V108" s="305" t="str">
        <f t="shared" si="43"/>
        <v/>
      </c>
      <c r="W108" s="314" t="str">
        <f t="shared" si="44"/>
        <v/>
      </c>
      <c r="X108" s="314" t="str">
        <f t="shared" si="45"/>
        <v/>
      </c>
      <c r="Y108" s="326" t="str">
        <f t="shared" si="31"/>
        <v/>
      </c>
    </row>
    <row r="109" spans="7:25" x14ac:dyDescent="0.25">
      <c r="G109" s="303">
        <f t="shared" si="28"/>
        <v>0</v>
      </c>
      <c r="H109" s="304">
        <f t="shared" si="32"/>
        <v>102</v>
      </c>
      <c r="I109" s="305" t="str">
        <f t="shared" si="34"/>
        <v/>
      </c>
      <c r="J109" s="305" t="str">
        <f t="shared" si="35"/>
        <v/>
      </c>
      <c r="K109" s="305" t="str">
        <f t="shared" si="36"/>
        <v/>
      </c>
      <c r="L109" s="305" t="str">
        <f t="shared" si="37"/>
        <v/>
      </c>
      <c r="M109" s="314" t="str">
        <f t="shared" si="38"/>
        <v/>
      </c>
      <c r="N109" s="305" t="str">
        <f t="shared" si="39"/>
        <v/>
      </c>
      <c r="O109" s="327" t="e">
        <f t="shared" si="30"/>
        <v>#NUM!</v>
      </c>
      <c r="P109" s="305"/>
      <c r="Q109" s="303">
        <f t="shared" si="29"/>
        <v>0</v>
      </c>
      <c r="R109" s="304">
        <f t="shared" si="33"/>
        <v>-2</v>
      </c>
      <c r="S109" s="305" t="str">
        <f t="shared" si="40"/>
        <v/>
      </c>
      <c r="T109" s="305" t="str">
        <f t="shared" si="41"/>
        <v/>
      </c>
      <c r="U109" s="305" t="str">
        <f t="shared" si="42"/>
        <v/>
      </c>
      <c r="V109" s="305" t="str">
        <f t="shared" si="43"/>
        <v/>
      </c>
      <c r="W109" s="314" t="str">
        <f t="shared" si="44"/>
        <v/>
      </c>
      <c r="X109" s="314" t="str">
        <f t="shared" si="45"/>
        <v/>
      </c>
      <c r="Y109" s="326" t="str">
        <f t="shared" si="31"/>
        <v/>
      </c>
    </row>
    <row r="110" spans="7:25" x14ac:dyDescent="0.25">
      <c r="G110" s="303">
        <f t="shared" si="28"/>
        <v>0</v>
      </c>
      <c r="H110" s="304">
        <f t="shared" si="32"/>
        <v>103</v>
      </c>
      <c r="I110" s="305" t="str">
        <f t="shared" si="34"/>
        <v/>
      </c>
      <c r="J110" s="305" t="str">
        <f t="shared" si="35"/>
        <v/>
      </c>
      <c r="K110" s="305" t="str">
        <f t="shared" si="36"/>
        <v/>
      </c>
      <c r="L110" s="305" t="str">
        <f t="shared" si="37"/>
        <v/>
      </c>
      <c r="M110" s="314" t="str">
        <f t="shared" si="38"/>
        <v/>
      </c>
      <c r="N110" s="305" t="str">
        <f t="shared" si="39"/>
        <v/>
      </c>
      <c r="O110" s="327" t="e">
        <f t="shared" si="30"/>
        <v>#NUM!</v>
      </c>
      <c r="P110" s="305"/>
      <c r="Q110" s="303">
        <f t="shared" si="29"/>
        <v>0</v>
      </c>
      <c r="R110" s="304">
        <f t="shared" si="33"/>
        <v>-3</v>
      </c>
      <c r="S110" s="305" t="str">
        <f t="shared" si="40"/>
        <v/>
      </c>
      <c r="T110" s="305" t="str">
        <f t="shared" si="41"/>
        <v/>
      </c>
      <c r="U110" s="305" t="str">
        <f t="shared" si="42"/>
        <v/>
      </c>
      <c r="V110" s="305" t="str">
        <f t="shared" si="43"/>
        <v/>
      </c>
      <c r="W110" s="314" t="str">
        <f t="shared" si="44"/>
        <v/>
      </c>
      <c r="X110" s="314" t="str">
        <f t="shared" si="45"/>
        <v/>
      </c>
      <c r="Y110" s="326" t="str">
        <f t="shared" si="31"/>
        <v/>
      </c>
    </row>
    <row r="111" spans="7:25" x14ac:dyDescent="0.25">
      <c r="G111" s="303">
        <f t="shared" si="28"/>
        <v>0</v>
      </c>
      <c r="H111" s="304">
        <f t="shared" si="32"/>
        <v>104</v>
      </c>
      <c r="I111" s="305" t="str">
        <f t="shared" si="34"/>
        <v/>
      </c>
      <c r="J111" s="305" t="str">
        <f t="shared" si="35"/>
        <v/>
      </c>
      <c r="K111" s="305" t="str">
        <f t="shared" si="36"/>
        <v/>
      </c>
      <c r="L111" s="305" t="str">
        <f t="shared" si="37"/>
        <v/>
      </c>
      <c r="M111" s="314" t="str">
        <f t="shared" si="38"/>
        <v/>
      </c>
      <c r="N111" s="305" t="str">
        <f t="shared" si="39"/>
        <v/>
      </c>
      <c r="O111" s="327" t="e">
        <f t="shared" si="30"/>
        <v>#NUM!</v>
      </c>
      <c r="P111" s="305"/>
      <c r="Q111" s="303">
        <f t="shared" si="29"/>
        <v>0</v>
      </c>
      <c r="R111" s="304">
        <f t="shared" si="33"/>
        <v>-4</v>
      </c>
      <c r="S111" s="305" t="str">
        <f t="shared" si="40"/>
        <v/>
      </c>
      <c r="T111" s="305" t="str">
        <f t="shared" si="41"/>
        <v/>
      </c>
      <c r="U111" s="305" t="str">
        <f t="shared" si="42"/>
        <v/>
      </c>
      <c r="V111" s="305" t="str">
        <f t="shared" si="43"/>
        <v/>
      </c>
      <c r="W111" s="314" t="str">
        <f t="shared" si="44"/>
        <v/>
      </c>
      <c r="X111" s="314" t="str">
        <f t="shared" si="45"/>
        <v/>
      </c>
      <c r="Y111" s="326" t="str">
        <f t="shared" si="31"/>
        <v/>
      </c>
    </row>
    <row r="112" spans="7:25" x14ac:dyDescent="0.25">
      <c r="G112" s="303">
        <f t="shared" si="28"/>
        <v>0</v>
      </c>
      <c r="H112" s="304">
        <f t="shared" si="32"/>
        <v>105</v>
      </c>
      <c r="I112" s="305" t="str">
        <f t="shared" si="34"/>
        <v/>
      </c>
      <c r="J112" s="305" t="str">
        <f t="shared" si="35"/>
        <v/>
      </c>
      <c r="K112" s="305" t="str">
        <f t="shared" si="36"/>
        <v/>
      </c>
      <c r="L112" s="305" t="str">
        <f t="shared" si="37"/>
        <v/>
      </c>
      <c r="M112" s="314" t="str">
        <f t="shared" si="38"/>
        <v/>
      </c>
      <c r="N112" s="305" t="str">
        <f t="shared" si="39"/>
        <v/>
      </c>
      <c r="O112" s="327" t="e">
        <f t="shared" si="30"/>
        <v>#NUM!</v>
      </c>
      <c r="P112" s="305"/>
      <c r="Q112" s="303">
        <f t="shared" si="29"/>
        <v>0</v>
      </c>
      <c r="R112" s="304">
        <f t="shared" si="33"/>
        <v>-5</v>
      </c>
      <c r="S112" s="305" t="str">
        <f t="shared" si="40"/>
        <v/>
      </c>
      <c r="T112" s="305" t="str">
        <f t="shared" si="41"/>
        <v/>
      </c>
      <c r="U112" s="305" t="str">
        <f t="shared" si="42"/>
        <v/>
      </c>
      <c r="V112" s="305" t="str">
        <f t="shared" si="43"/>
        <v/>
      </c>
      <c r="W112" s="314" t="str">
        <f t="shared" si="44"/>
        <v/>
      </c>
      <c r="X112" s="314" t="str">
        <f t="shared" si="45"/>
        <v/>
      </c>
      <c r="Y112" s="326" t="str">
        <f t="shared" si="31"/>
        <v/>
      </c>
    </row>
    <row r="113" spans="7:25" x14ac:dyDescent="0.25">
      <c r="G113" s="303">
        <f t="shared" si="28"/>
        <v>0</v>
      </c>
      <c r="H113" s="304">
        <f t="shared" si="32"/>
        <v>106</v>
      </c>
      <c r="I113" s="305" t="str">
        <f t="shared" si="34"/>
        <v/>
      </c>
      <c r="J113" s="305" t="str">
        <f t="shared" si="35"/>
        <v/>
      </c>
      <c r="K113" s="305" t="str">
        <f t="shared" si="36"/>
        <v/>
      </c>
      <c r="L113" s="305" t="str">
        <f t="shared" si="37"/>
        <v/>
      </c>
      <c r="M113" s="314" t="str">
        <f t="shared" si="38"/>
        <v/>
      </c>
      <c r="N113" s="305" t="str">
        <f t="shared" si="39"/>
        <v/>
      </c>
      <c r="O113" s="327" t="e">
        <f t="shared" si="30"/>
        <v>#NUM!</v>
      </c>
      <c r="P113" s="305"/>
      <c r="Q113" s="303">
        <f t="shared" si="29"/>
        <v>0</v>
      </c>
      <c r="R113" s="304">
        <f t="shared" si="33"/>
        <v>-6</v>
      </c>
      <c r="S113" s="305" t="str">
        <f t="shared" si="40"/>
        <v/>
      </c>
      <c r="T113" s="305" t="str">
        <f t="shared" si="41"/>
        <v/>
      </c>
      <c r="U113" s="305" t="str">
        <f t="shared" si="42"/>
        <v/>
      </c>
      <c r="V113" s="305" t="str">
        <f t="shared" si="43"/>
        <v/>
      </c>
      <c r="W113" s="314" t="str">
        <f t="shared" si="44"/>
        <v/>
      </c>
      <c r="X113" s="314" t="str">
        <f t="shared" si="45"/>
        <v/>
      </c>
      <c r="Y113" s="326" t="str">
        <f t="shared" si="31"/>
        <v/>
      </c>
    </row>
    <row r="114" spans="7:25" x14ac:dyDescent="0.25">
      <c r="G114" s="303">
        <f t="shared" si="28"/>
        <v>0</v>
      </c>
      <c r="H114" s="304">
        <f t="shared" si="32"/>
        <v>107</v>
      </c>
      <c r="I114" s="305" t="str">
        <f t="shared" si="34"/>
        <v/>
      </c>
      <c r="J114" s="305" t="str">
        <f t="shared" si="35"/>
        <v/>
      </c>
      <c r="K114" s="305" t="str">
        <f t="shared" si="36"/>
        <v/>
      </c>
      <c r="L114" s="305" t="str">
        <f t="shared" si="37"/>
        <v/>
      </c>
      <c r="M114" s="314" t="str">
        <f t="shared" si="38"/>
        <v/>
      </c>
      <c r="N114" s="305" t="str">
        <f t="shared" si="39"/>
        <v/>
      </c>
      <c r="O114" s="327" t="e">
        <f t="shared" si="30"/>
        <v>#NUM!</v>
      </c>
      <c r="P114" s="305"/>
      <c r="Q114" s="303">
        <f t="shared" si="29"/>
        <v>0</v>
      </c>
      <c r="R114" s="304">
        <f t="shared" si="33"/>
        <v>-7</v>
      </c>
      <c r="S114" s="305" t="str">
        <f t="shared" si="40"/>
        <v/>
      </c>
      <c r="T114" s="305" t="str">
        <f t="shared" si="41"/>
        <v/>
      </c>
      <c r="U114" s="305" t="str">
        <f t="shared" si="42"/>
        <v/>
      </c>
      <c r="V114" s="305" t="str">
        <f t="shared" si="43"/>
        <v/>
      </c>
      <c r="W114" s="314" t="str">
        <f t="shared" si="44"/>
        <v/>
      </c>
      <c r="X114" s="314" t="str">
        <f t="shared" si="45"/>
        <v/>
      </c>
      <c r="Y114" s="326" t="str">
        <f t="shared" si="31"/>
        <v/>
      </c>
    </row>
    <row r="115" spans="7:25" x14ac:dyDescent="0.25">
      <c r="G115" s="303">
        <f t="shared" si="28"/>
        <v>0</v>
      </c>
      <c r="H115" s="304">
        <f t="shared" si="32"/>
        <v>108</v>
      </c>
      <c r="I115" s="305" t="str">
        <f t="shared" si="34"/>
        <v/>
      </c>
      <c r="J115" s="305" t="str">
        <f t="shared" si="35"/>
        <v/>
      </c>
      <c r="K115" s="305" t="str">
        <f t="shared" si="36"/>
        <v/>
      </c>
      <c r="L115" s="305" t="str">
        <f t="shared" si="37"/>
        <v/>
      </c>
      <c r="M115" s="314" t="str">
        <f t="shared" si="38"/>
        <v/>
      </c>
      <c r="N115" s="305" t="str">
        <f t="shared" si="39"/>
        <v/>
      </c>
      <c r="O115" s="327" t="e">
        <f t="shared" si="30"/>
        <v>#NUM!</v>
      </c>
      <c r="P115" s="305"/>
      <c r="Q115" s="303">
        <f t="shared" si="29"/>
        <v>0</v>
      </c>
      <c r="R115" s="304">
        <f t="shared" si="33"/>
        <v>-8</v>
      </c>
      <c r="S115" s="305" t="str">
        <f t="shared" si="40"/>
        <v/>
      </c>
      <c r="T115" s="305" t="str">
        <f t="shared" si="41"/>
        <v/>
      </c>
      <c r="U115" s="305" t="str">
        <f t="shared" si="42"/>
        <v/>
      </c>
      <c r="V115" s="305" t="str">
        <f t="shared" si="43"/>
        <v/>
      </c>
      <c r="W115" s="314" t="str">
        <f t="shared" si="44"/>
        <v/>
      </c>
      <c r="X115" s="314" t="str">
        <f t="shared" si="45"/>
        <v/>
      </c>
      <c r="Y115" s="326" t="str">
        <f t="shared" si="31"/>
        <v/>
      </c>
    </row>
    <row r="116" spans="7:25" x14ac:dyDescent="0.25">
      <c r="G116" s="303">
        <f t="shared" si="28"/>
        <v>0</v>
      </c>
      <c r="H116" s="304">
        <f t="shared" si="32"/>
        <v>109</v>
      </c>
      <c r="I116" s="305" t="str">
        <f t="shared" si="34"/>
        <v/>
      </c>
      <c r="J116" s="305" t="str">
        <f t="shared" si="35"/>
        <v/>
      </c>
      <c r="K116" s="305" t="str">
        <f t="shared" si="36"/>
        <v/>
      </c>
      <c r="L116" s="305" t="str">
        <f t="shared" si="37"/>
        <v/>
      </c>
      <c r="M116" s="314" t="str">
        <f t="shared" si="38"/>
        <v/>
      </c>
      <c r="N116" s="305" t="str">
        <f t="shared" si="39"/>
        <v/>
      </c>
      <c r="O116" s="327" t="e">
        <f t="shared" si="30"/>
        <v>#NUM!</v>
      </c>
      <c r="P116" s="305"/>
      <c r="Q116" s="303">
        <f t="shared" si="29"/>
        <v>0</v>
      </c>
      <c r="R116" s="304">
        <f t="shared" si="33"/>
        <v>-9</v>
      </c>
      <c r="S116" s="305" t="str">
        <f t="shared" si="40"/>
        <v/>
      </c>
      <c r="T116" s="305" t="str">
        <f t="shared" si="41"/>
        <v/>
      </c>
      <c r="U116" s="305" t="str">
        <f t="shared" si="42"/>
        <v/>
      </c>
      <c r="V116" s="305" t="str">
        <f t="shared" si="43"/>
        <v/>
      </c>
      <c r="W116" s="314" t="str">
        <f t="shared" si="44"/>
        <v/>
      </c>
      <c r="X116" s="314" t="str">
        <f t="shared" si="45"/>
        <v/>
      </c>
      <c r="Y116" s="326" t="str">
        <f t="shared" si="31"/>
        <v/>
      </c>
    </row>
    <row r="117" spans="7:25" x14ac:dyDescent="0.25">
      <c r="G117" s="303">
        <f t="shared" si="28"/>
        <v>0</v>
      </c>
      <c r="H117" s="304">
        <f t="shared" si="32"/>
        <v>110</v>
      </c>
      <c r="I117" s="305" t="str">
        <f t="shared" si="34"/>
        <v/>
      </c>
      <c r="J117" s="305" t="str">
        <f t="shared" si="35"/>
        <v/>
      </c>
      <c r="K117" s="305" t="str">
        <f t="shared" si="36"/>
        <v/>
      </c>
      <c r="L117" s="305" t="str">
        <f t="shared" si="37"/>
        <v/>
      </c>
      <c r="M117" s="314" t="str">
        <f t="shared" si="38"/>
        <v/>
      </c>
      <c r="N117" s="305" t="str">
        <f t="shared" si="39"/>
        <v/>
      </c>
      <c r="O117" s="327" t="e">
        <f t="shared" si="30"/>
        <v>#NUM!</v>
      </c>
      <c r="P117" s="305"/>
      <c r="Q117" s="303">
        <f t="shared" si="29"/>
        <v>0</v>
      </c>
      <c r="R117" s="304">
        <f t="shared" si="33"/>
        <v>-10</v>
      </c>
      <c r="S117" s="305" t="str">
        <f t="shared" si="40"/>
        <v/>
      </c>
      <c r="T117" s="305" t="str">
        <f t="shared" si="41"/>
        <v/>
      </c>
      <c r="U117" s="305" t="str">
        <f t="shared" si="42"/>
        <v/>
      </c>
      <c r="V117" s="305" t="str">
        <f t="shared" si="43"/>
        <v/>
      </c>
      <c r="W117" s="314" t="str">
        <f t="shared" si="44"/>
        <v/>
      </c>
      <c r="X117" s="314" t="str">
        <f t="shared" si="45"/>
        <v/>
      </c>
      <c r="Y117" s="326" t="str">
        <f t="shared" si="31"/>
        <v/>
      </c>
    </row>
    <row r="118" spans="7:25" x14ac:dyDescent="0.25">
      <c r="G118" s="303">
        <f t="shared" si="28"/>
        <v>0</v>
      </c>
      <c r="H118" s="304">
        <f t="shared" si="32"/>
        <v>111</v>
      </c>
      <c r="I118" s="305" t="str">
        <f t="shared" si="34"/>
        <v/>
      </c>
      <c r="J118" s="305" t="str">
        <f t="shared" si="35"/>
        <v/>
      </c>
      <c r="K118" s="305" t="str">
        <f t="shared" si="36"/>
        <v/>
      </c>
      <c r="L118" s="305" t="str">
        <f t="shared" si="37"/>
        <v/>
      </c>
      <c r="M118" s="314" t="str">
        <f t="shared" si="38"/>
        <v/>
      </c>
      <c r="N118" s="305" t="str">
        <f t="shared" si="39"/>
        <v/>
      </c>
      <c r="O118" s="327" t="e">
        <f t="shared" si="30"/>
        <v>#NUM!</v>
      </c>
      <c r="P118" s="305"/>
      <c r="Q118" s="303">
        <f t="shared" si="29"/>
        <v>0</v>
      </c>
      <c r="R118" s="304">
        <f t="shared" si="33"/>
        <v>-11</v>
      </c>
      <c r="S118" s="305" t="str">
        <f t="shared" si="40"/>
        <v/>
      </c>
      <c r="T118" s="305" t="str">
        <f t="shared" si="41"/>
        <v/>
      </c>
      <c r="U118" s="305" t="str">
        <f t="shared" si="42"/>
        <v/>
      </c>
      <c r="V118" s="305" t="str">
        <f t="shared" si="43"/>
        <v/>
      </c>
      <c r="W118" s="314" t="str">
        <f t="shared" si="44"/>
        <v/>
      </c>
      <c r="X118" s="314" t="str">
        <f t="shared" si="45"/>
        <v/>
      </c>
      <c r="Y118" s="326" t="str">
        <f t="shared" si="31"/>
        <v/>
      </c>
    </row>
    <row r="119" spans="7:25" x14ac:dyDescent="0.25">
      <c r="G119" s="303">
        <f t="shared" si="28"/>
        <v>0</v>
      </c>
      <c r="H119" s="304">
        <f t="shared" si="32"/>
        <v>112</v>
      </c>
      <c r="I119" s="305" t="str">
        <f t="shared" si="34"/>
        <v/>
      </c>
      <c r="J119" s="305" t="str">
        <f t="shared" si="35"/>
        <v/>
      </c>
      <c r="K119" s="305" t="str">
        <f t="shared" si="36"/>
        <v/>
      </c>
      <c r="L119" s="305" t="str">
        <f t="shared" si="37"/>
        <v/>
      </c>
      <c r="M119" s="314" t="str">
        <f t="shared" si="38"/>
        <v/>
      </c>
      <c r="N119" s="305" t="str">
        <f t="shared" si="39"/>
        <v/>
      </c>
      <c r="O119" s="327" t="e">
        <f t="shared" si="30"/>
        <v>#NUM!</v>
      </c>
      <c r="P119" s="305"/>
      <c r="Q119" s="303">
        <f t="shared" si="29"/>
        <v>0</v>
      </c>
      <c r="R119" s="304">
        <f t="shared" si="33"/>
        <v>-12</v>
      </c>
      <c r="S119" s="305" t="str">
        <f t="shared" si="40"/>
        <v/>
      </c>
      <c r="T119" s="305" t="str">
        <f t="shared" si="41"/>
        <v/>
      </c>
      <c r="U119" s="305" t="str">
        <f t="shared" si="42"/>
        <v/>
      </c>
      <c r="V119" s="305" t="str">
        <f t="shared" si="43"/>
        <v/>
      </c>
      <c r="W119" s="314" t="str">
        <f t="shared" si="44"/>
        <v/>
      </c>
      <c r="X119" s="314" t="str">
        <f t="shared" si="45"/>
        <v/>
      </c>
      <c r="Y119" s="326" t="str">
        <f t="shared" si="31"/>
        <v/>
      </c>
    </row>
    <row r="120" spans="7:25" x14ac:dyDescent="0.25">
      <c r="G120" s="303">
        <f t="shared" si="28"/>
        <v>0</v>
      </c>
      <c r="H120" s="304">
        <f t="shared" si="32"/>
        <v>113</v>
      </c>
      <c r="I120" s="305" t="str">
        <f t="shared" si="34"/>
        <v/>
      </c>
      <c r="J120" s="305" t="str">
        <f t="shared" si="35"/>
        <v/>
      </c>
      <c r="K120" s="305" t="str">
        <f t="shared" si="36"/>
        <v/>
      </c>
      <c r="L120" s="305" t="str">
        <f t="shared" si="37"/>
        <v/>
      </c>
      <c r="M120" s="314" t="str">
        <f t="shared" si="38"/>
        <v/>
      </c>
      <c r="N120" s="305" t="str">
        <f t="shared" si="39"/>
        <v/>
      </c>
      <c r="O120" s="327" t="e">
        <f t="shared" si="30"/>
        <v>#NUM!</v>
      </c>
      <c r="P120" s="305"/>
      <c r="Q120" s="303">
        <f t="shared" si="29"/>
        <v>0</v>
      </c>
      <c r="R120" s="304">
        <f t="shared" si="33"/>
        <v>-13</v>
      </c>
      <c r="S120" s="305" t="str">
        <f t="shared" si="40"/>
        <v/>
      </c>
      <c r="T120" s="305" t="str">
        <f t="shared" si="41"/>
        <v/>
      </c>
      <c r="U120" s="305" t="str">
        <f t="shared" si="42"/>
        <v/>
      </c>
      <c r="V120" s="305" t="str">
        <f t="shared" si="43"/>
        <v/>
      </c>
      <c r="W120" s="314" t="str">
        <f t="shared" si="44"/>
        <v/>
      </c>
      <c r="X120" s="314" t="str">
        <f t="shared" si="45"/>
        <v/>
      </c>
      <c r="Y120" s="326" t="str">
        <f t="shared" si="31"/>
        <v/>
      </c>
    </row>
    <row r="121" spans="7:25" x14ac:dyDescent="0.25">
      <c r="G121" s="303">
        <f t="shared" si="28"/>
        <v>0</v>
      </c>
      <c r="H121" s="304">
        <f t="shared" si="32"/>
        <v>114</v>
      </c>
      <c r="I121" s="305" t="str">
        <f t="shared" si="34"/>
        <v/>
      </c>
      <c r="J121" s="305" t="str">
        <f t="shared" si="35"/>
        <v/>
      </c>
      <c r="K121" s="305" t="str">
        <f t="shared" si="36"/>
        <v/>
      </c>
      <c r="L121" s="305" t="str">
        <f t="shared" si="37"/>
        <v/>
      </c>
      <c r="M121" s="314" t="str">
        <f t="shared" si="38"/>
        <v/>
      </c>
      <c r="N121" s="305" t="str">
        <f t="shared" si="39"/>
        <v/>
      </c>
      <c r="O121" s="327" t="e">
        <f t="shared" si="30"/>
        <v>#NUM!</v>
      </c>
      <c r="P121" s="305"/>
      <c r="Q121" s="303">
        <f t="shared" si="29"/>
        <v>0</v>
      </c>
      <c r="R121" s="304">
        <f t="shared" si="33"/>
        <v>-14</v>
      </c>
      <c r="S121" s="305" t="str">
        <f t="shared" si="40"/>
        <v/>
      </c>
      <c r="T121" s="305" t="str">
        <f t="shared" si="41"/>
        <v/>
      </c>
      <c r="U121" s="305" t="str">
        <f t="shared" si="42"/>
        <v/>
      </c>
      <c r="V121" s="305" t="str">
        <f t="shared" si="43"/>
        <v/>
      </c>
      <c r="W121" s="314" t="str">
        <f t="shared" si="44"/>
        <v/>
      </c>
      <c r="X121" s="314" t="str">
        <f t="shared" si="45"/>
        <v/>
      </c>
      <c r="Y121" s="326" t="str">
        <f t="shared" si="31"/>
        <v/>
      </c>
    </row>
    <row r="122" spans="7:25" x14ac:dyDescent="0.25">
      <c r="G122" s="303">
        <f t="shared" si="28"/>
        <v>0</v>
      </c>
      <c r="H122" s="304">
        <f t="shared" si="32"/>
        <v>115</v>
      </c>
      <c r="I122" s="305" t="str">
        <f t="shared" si="34"/>
        <v/>
      </c>
      <c r="J122" s="305" t="str">
        <f t="shared" si="35"/>
        <v/>
      </c>
      <c r="K122" s="305" t="str">
        <f t="shared" si="36"/>
        <v/>
      </c>
      <c r="L122" s="305" t="str">
        <f t="shared" si="37"/>
        <v/>
      </c>
      <c r="M122" s="314" t="str">
        <f t="shared" si="38"/>
        <v/>
      </c>
      <c r="N122" s="305" t="str">
        <f t="shared" si="39"/>
        <v/>
      </c>
      <c r="O122" s="327" t="e">
        <f t="shared" si="30"/>
        <v>#NUM!</v>
      </c>
      <c r="P122" s="305"/>
      <c r="Q122" s="303">
        <f t="shared" si="29"/>
        <v>0</v>
      </c>
      <c r="R122" s="304">
        <f t="shared" si="33"/>
        <v>-15</v>
      </c>
      <c r="S122" s="305" t="str">
        <f t="shared" si="40"/>
        <v/>
      </c>
      <c r="T122" s="305" t="str">
        <f t="shared" si="41"/>
        <v/>
      </c>
      <c r="U122" s="305" t="str">
        <f t="shared" si="42"/>
        <v/>
      </c>
      <c r="V122" s="305" t="str">
        <f t="shared" si="43"/>
        <v/>
      </c>
      <c r="W122" s="314" t="str">
        <f t="shared" si="44"/>
        <v/>
      </c>
      <c r="X122" s="314" t="str">
        <f t="shared" si="45"/>
        <v/>
      </c>
      <c r="Y122" s="326" t="str">
        <f t="shared" si="31"/>
        <v/>
      </c>
    </row>
    <row r="123" spans="7:25" x14ac:dyDescent="0.25">
      <c r="G123" s="303">
        <f t="shared" si="28"/>
        <v>0</v>
      </c>
      <c r="H123" s="304">
        <f t="shared" si="32"/>
        <v>116</v>
      </c>
      <c r="I123" s="305" t="str">
        <f t="shared" si="34"/>
        <v/>
      </c>
      <c r="J123" s="305" t="str">
        <f t="shared" si="35"/>
        <v/>
      </c>
      <c r="K123" s="305" t="str">
        <f t="shared" si="36"/>
        <v/>
      </c>
      <c r="L123" s="305" t="str">
        <f t="shared" si="37"/>
        <v/>
      </c>
      <c r="M123" s="314" t="str">
        <f t="shared" si="38"/>
        <v/>
      </c>
      <c r="N123" s="305" t="str">
        <f t="shared" si="39"/>
        <v/>
      </c>
      <c r="O123" s="327" t="e">
        <f t="shared" si="30"/>
        <v>#NUM!</v>
      </c>
      <c r="P123" s="305"/>
      <c r="Q123" s="303">
        <f t="shared" si="29"/>
        <v>0</v>
      </c>
      <c r="R123" s="304">
        <f t="shared" si="33"/>
        <v>-16</v>
      </c>
      <c r="S123" s="305" t="str">
        <f t="shared" si="40"/>
        <v/>
      </c>
      <c r="T123" s="305" t="str">
        <f t="shared" si="41"/>
        <v/>
      </c>
      <c r="U123" s="305" t="str">
        <f t="shared" si="42"/>
        <v/>
      </c>
      <c r="V123" s="305" t="str">
        <f t="shared" si="43"/>
        <v/>
      </c>
      <c r="W123" s="314" t="str">
        <f t="shared" si="44"/>
        <v/>
      </c>
      <c r="X123" s="314" t="str">
        <f t="shared" si="45"/>
        <v/>
      </c>
      <c r="Y123" s="326" t="str">
        <f t="shared" si="31"/>
        <v/>
      </c>
    </row>
    <row r="124" spans="7:25" x14ac:dyDescent="0.25">
      <c r="G124" s="303">
        <f t="shared" si="28"/>
        <v>0</v>
      </c>
      <c r="H124" s="304">
        <f t="shared" si="32"/>
        <v>117</v>
      </c>
      <c r="I124" s="305" t="str">
        <f t="shared" si="34"/>
        <v/>
      </c>
      <c r="J124" s="305" t="str">
        <f t="shared" si="35"/>
        <v/>
      </c>
      <c r="K124" s="305" t="str">
        <f t="shared" si="36"/>
        <v/>
      </c>
      <c r="L124" s="305" t="str">
        <f t="shared" si="37"/>
        <v/>
      </c>
      <c r="M124" s="314" t="str">
        <f t="shared" si="38"/>
        <v/>
      </c>
      <c r="N124" s="305" t="str">
        <f t="shared" si="39"/>
        <v/>
      </c>
      <c r="O124" s="327" t="e">
        <f t="shared" si="30"/>
        <v>#NUM!</v>
      </c>
      <c r="P124" s="305"/>
      <c r="Q124" s="303">
        <f t="shared" si="29"/>
        <v>0</v>
      </c>
      <c r="R124" s="304">
        <f t="shared" si="33"/>
        <v>-17</v>
      </c>
      <c r="S124" s="305" t="str">
        <f t="shared" si="40"/>
        <v/>
      </c>
      <c r="T124" s="305" t="str">
        <f t="shared" si="41"/>
        <v/>
      </c>
      <c r="U124" s="305" t="str">
        <f t="shared" si="42"/>
        <v/>
      </c>
      <c r="V124" s="305" t="str">
        <f t="shared" si="43"/>
        <v/>
      </c>
      <c r="W124" s="314" t="str">
        <f t="shared" si="44"/>
        <v/>
      </c>
      <c r="X124" s="314" t="str">
        <f t="shared" si="45"/>
        <v/>
      </c>
      <c r="Y124" s="326" t="str">
        <f t="shared" si="31"/>
        <v/>
      </c>
    </row>
    <row r="125" spans="7:25" x14ac:dyDescent="0.25">
      <c r="G125" s="303">
        <f t="shared" si="28"/>
        <v>0</v>
      </c>
      <c r="H125" s="304">
        <f t="shared" si="32"/>
        <v>118</v>
      </c>
      <c r="I125" s="305" t="str">
        <f t="shared" si="34"/>
        <v/>
      </c>
      <c r="J125" s="305" t="str">
        <f t="shared" si="35"/>
        <v/>
      </c>
      <c r="K125" s="305" t="str">
        <f t="shared" si="36"/>
        <v/>
      </c>
      <c r="L125" s="305" t="str">
        <f t="shared" si="37"/>
        <v/>
      </c>
      <c r="M125" s="314" t="str">
        <f t="shared" si="38"/>
        <v/>
      </c>
      <c r="N125" s="305" t="str">
        <f t="shared" si="39"/>
        <v/>
      </c>
      <c r="O125" s="327" t="e">
        <f t="shared" si="30"/>
        <v>#NUM!</v>
      </c>
      <c r="P125" s="305"/>
      <c r="Q125" s="303">
        <f t="shared" si="29"/>
        <v>0</v>
      </c>
      <c r="R125" s="304">
        <f t="shared" si="33"/>
        <v>-18</v>
      </c>
      <c r="S125" s="305" t="str">
        <f t="shared" si="40"/>
        <v/>
      </c>
      <c r="T125" s="305" t="str">
        <f t="shared" si="41"/>
        <v/>
      </c>
      <c r="U125" s="305" t="str">
        <f t="shared" si="42"/>
        <v/>
      </c>
      <c r="V125" s="305" t="str">
        <f t="shared" si="43"/>
        <v/>
      </c>
      <c r="W125" s="314" t="str">
        <f t="shared" si="44"/>
        <v/>
      </c>
      <c r="X125" s="314" t="str">
        <f t="shared" si="45"/>
        <v/>
      </c>
      <c r="Y125" s="326" t="str">
        <f t="shared" si="31"/>
        <v/>
      </c>
    </row>
    <row r="126" spans="7:25" x14ac:dyDescent="0.25">
      <c r="G126" s="303">
        <f t="shared" si="28"/>
        <v>0</v>
      </c>
      <c r="H126" s="304">
        <f t="shared" si="32"/>
        <v>119</v>
      </c>
      <c r="I126" s="305" t="str">
        <f t="shared" si="34"/>
        <v/>
      </c>
      <c r="J126" s="305" t="str">
        <f t="shared" si="35"/>
        <v/>
      </c>
      <c r="K126" s="305" t="str">
        <f t="shared" si="36"/>
        <v/>
      </c>
      <c r="L126" s="305" t="str">
        <f t="shared" si="37"/>
        <v/>
      </c>
      <c r="M126" s="314" t="str">
        <f t="shared" si="38"/>
        <v/>
      </c>
      <c r="N126" s="305" t="str">
        <f t="shared" si="39"/>
        <v/>
      </c>
      <c r="O126" s="327" t="e">
        <f t="shared" si="30"/>
        <v>#NUM!</v>
      </c>
      <c r="P126" s="305"/>
      <c r="Q126" s="303">
        <f t="shared" si="29"/>
        <v>0</v>
      </c>
      <c r="R126" s="304">
        <f t="shared" si="33"/>
        <v>-19</v>
      </c>
      <c r="S126" s="305" t="str">
        <f t="shared" si="40"/>
        <v/>
      </c>
      <c r="T126" s="305" t="str">
        <f t="shared" si="41"/>
        <v/>
      </c>
      <c r="U126" s="305" t="str">
        <f t="shared" si="42"/>
        <v/>
      </c>
      <c r="V126" s="305" t="str">
        <f t="shared" si="43"/>
        <v/>
      </c>
      <c r="W126" s="314" t="str">
        <f t="shared" si="44"/>
        <v/>
      </c>
      <c r="X126" s="314" t="str">
        <f t="shared" si="45"/>
        <v/>
      </c>
      <c r="Y126" s="326" t="str">
        <f t="shared" si="31"/>
        <v/>
      </c>
    </row>
    <row r="127" spans="7:25" x14ac:dyDescent="0.25">
      <c r="G127" s="303">
        <f t="shared" si="28"/>
        <v>0</v>
      </c>
      <c r="H127" s="304">
        <f t="shared" si="32"/>
        <v>120</v>
      </c>
      <c r="I127" s="305" t="str">
        <f t="shared" si="34"/>
        <v/>
      </c>
      <c r="J127" s="305" t="str">
        <f t="shared" si="35"/>
        <v/>
      </c>
      <c r="K127" s="305" t="str">
        <f t="shared" si="36"/>
        <v/>
      </c>
      <c r="L127" s="305" t="str">
        <f t="shared" si="37"/>
        <v/>
      </c>
      <c r="M127" s="314" t="str">
        <f t="shared" si="38"/>
        <v/>
      </c>
      <c r="N127" s="305" t="str">
        <f t="shared" si="39"/>
        <v/>
      </c>
      <c r="O127" s="327" t="e">
        <f t="shared" si="30"/>
        <v>#NUM!</v>
      </c>
      <c r="P127" s="305"/>
      <c r="Q127" s="303">
        <f t="shared" si="29"/>
        <v>0</v>
      </c>
      <c r="R127" s="304">
        <f t="shared" si="33"/>
        <v>-20</v>
      </c>
      <c r="S127" s="305" t="str">
        <f t="shared" si="40"/>
        <v/>
      </c>
      <c r="T127" s="305" t="str">
        <f t="shared" si="41"/>
        <v/>
      </c>
      <c r="U127" s="305" t="str">
        <f t="shared" si="42"/>
        <v/>
      </c>
      <c r="V127" s="305" t="str">
        <f t="shared" si="43"/>
        <v/>
      </c>
      <c r="W127" s="314" t="str">
        <f t="shared" si="44"/>
        <v/>
      </c>
      <c r="X127" s="314" t="str">
        <f t="shared" si="45"/>
        <v/>
      </c>
      <c r="Y127" s="326" t="str">
        <f t="shared" si="31"/>
        <v/>
      </c>
    </row>
    <row r="128" spans="7:25" x14ac:dyDescent="0.25">
      <c r="G128" s="303">
        <f t="shared" si="28"/>
        <v>0</v>
      </c>
      <c r="H128" s="304">
        <f t="shared" si="32"/>
        <v>121</v>
      </c>
      <c r="I128" s="305" t="str">
        <f t="shared" si="34"/>
        <v/>
      </c>
      <c r="J128" s="305" t="str">
        <f t="shared" si="35"/>
        <v/>
      </c>
      <c r="K128" s="305" t="str">
        <f t="shared" si="36"/>
        <v/>
      </c>
      <c r="L128" s="305" t="str">
        <f t="shared" si="37"/>
        <v/>
      </c>
      <c r="M128" s="314" t="str">
        <f t="shared" si="38"/>
        <v/>
      </c>
      <c r="N128" s="305" t="str">
        <f t="shared" si="39"/>
        <v/>
      </c>
      <c r="O128" s="327" t="e">
        <f t="shared" si="30"/>
        <v>#NUM!</v>
      </c>
      <c r="P128" s="305"/>
      <c r="Q128" s="303">
        <f t="shared" si="29"/>
        <v>0</v>
      </c>
      <c r="R128" s="304">
        <f t="shared" si="33"/>
        <v>-21</v>
      </c>
      <c r="S128" s="305" t="str">
        <f t="shared" si="40"/>
        <v/>
      </c>
      <c r="T128" s="305" t="str">
        <f t="shared" si="41"/>
        <v/>
      </c>
      <c r="U128" s="305" t="str">
        <f t="shared" si="42"/>
        <v/>
      </c>
      <c r="V128" s="305" t="str">
        <f t="shared" si="43"/>
        <v/>
      </c>
      <c r="W128" s="314" t="str">
        <f t="shared" si="44"/>
        <v/>
      </c>
      <c r="X128" s="314" t="str">
        <f t="shared" si="45"/>
        <v/>
      </c>
      <c r="Y128" s="326" t="str">
        <f t="shared" si="31"/>
        <v/>
      </c>
    </row>
    <row r="129" spans="7:25" x14ac:dyDescent="0.25">
      <c r="G129" s="303">
        <f t="shared" si="28"/>
        <v>0</v>
      </c>
      <c r="H129" s="304">
        <f t="shared" si="32"/>
        <v>122</v>
      </c>
      <c r="I129" s="305" t="str">
        <f t="shared" si="34"/>
        <v/>
      </c>
      <c r="J129" s="305" t="str">
        <f t="shared" si="35"/>
        <v/>
      </c>
      <c r="K129" s="305" t="str">
        <f t="shared" si="36"/>
        <v/>
      </c>
      <c r="L129" s="305" t="str">
        <f t="shared" si="37"/>
        <v/>
      </c>
      <c r="M129" s="314" t="str">
        <f t="shared" si="38"/>
        <v/>
      </c>
      <c r="N129" s="305" t="str">
        <f t="shared" si="39"/>
        <v/>
      </c>
      <c r="O129" s="327" t="e">
        <f t="shared" si="30"/>
        <v>#NUM!</v>
      </c>
      <c r="P129" s="305"/>
      <c r="Q129" s="303">
        <f t="shared" si="29"/>
        <v>0</v>
      </c>
      <c r="R129" s="304">
        <f t="shared" si="33"/>
        <v>-22</v>
      </c>
      <c r="S129" s="305" t="str">
        <f t="shared" si="40"/>
        <v/>
      </c>
      <c r="T129" s="305" t="str">
        <f t="shared" si="41"/>
        <v/>
      </c>
      <c r="U129" s="305" t="str">
        <f t="shared" si="42"/>
        <v/>
      </c>
      <c r="V129" s="305" t="str">
        <f t="shared" si="43"/>
        <v/>
      </c>
      <c r="W129" s="314" t="str">
        <f t="shared" si="44"/>
        <v/>
      </c>
      <c r="X129" s="314" t="str">
        <f t="shared" si="45"/>
        <v/>
      </c>
      <c r="Y129" s="326" t="str">
        <f t="shared" si="31"/>
        <v/>
      </c>
    </row>
    <row r="130" spans="7:25" x14ac:dyDescent="0.25">
      <c r="G130" s="303">
        <f t="shared" si="28"/>
        <v>0</v>
      </c>
      <c r="H130" s="304">
        <f t="shared" si="32"/>
        <v>123</v>
      </c>
      <c r="I130" s="305" t="str">
        <f t="shared" si="34"/>
        <v/>
      </c>
      <c r="J130" s="305" t="str">
        <f t="shared" si="35"/>
        <v/>
      </c>
      <c r="K130" s="305" t="str">
        <f t="shared" si="36"/>
        <v/>
      </c>
      <c r="L130" s="305" t="str">
        <f t="shared" si="37"/>
        <v/>
      </c>
      <c r="M130" s="314" t="str">
        <f t="shared" si="38"/>
        <v/>
      </c>
      <c r="N130" s="305" t="str">
        <f t="shared" si="39"/>
        <v/>
      </c>
      <c r="O130" s="327" t="e">
        <f t="shared" si="30"/>
        <v>#NUM!</v>
      </c>
      <c r="P130" s="305"/>
      <c r="Q130" s="303">
        <f t="shared" si="29"/>
        <v>0</v>
      </c>
      <c r="R130" s="304">
        <f t="shared" si="33"/>
        <v>-23</v>
      </c>
      <c r="S130" s="305" t="str">
        <f t="shared" si="40"/>
        <v/>
      </c>
      <c r="T130" s="305" t="str">
        <f t="shared" si="41"/>
        <v/>
      </c>
      <c r="U130" s="305" t="str">
        <f t="shared" si="42"/>
        <v/>
      </c>
      <c r="V130" s="305" t="str">
        <f t="shared" si="43"/>
        <v/>
      </c>
      <c r="W130" s="314" t="str">
        <f t="shared" si="44"/>
        <v/>
      </c>
      <c r="X130" s="314" t="str">
        <f t="shared" si="45"/>
        <v/>
      </c>
      <c r="Y130" s="326" t="str">
        <f t="shared" si="31"/>
        <v/>
      </c>
    </row>
    <row r="131" spans="7:25" x14ac:dyDescent="0.25">
      <c r="G131" s="303">
        <f t="shared" si="28"/>
        <v>0</v>
      </c>
      <c r="H131" s="304">
        <f t="shared" si="32"/>
        <v>124</v>
      </c>
      <c r="I131" s="305" t="str">
        <f t="shared" si="34"/>
        <v/>
      </c>
      <c r="J131" s="305" t="str">
        <f t="shared" si="35"/>
        <v/>
      </c>
      <c r="K131" s="305" t="str">
        <f t="shared" si="36"/>
        <v/>
      </c>
      <c r="L131" s="305" t="str">
        <f t="shared" si="37"/>
        <v/>
      </c>
      <c r="M131" s="314" t="str">
        <f t="shared" si="38"/>
        <v/>
      </c>
      <c r="N131" s="305" t="str">
        <f t="shared" si="39"/>
        <v/>
      </c>
      <c r="O131" s="327" t="e">
        <f t="shared" si="30"/>
        <v>#NUM!</v>
      </c>
      <c r="P131" s="305"/>
      <c r="Q131" s="303">
        <f t="shared" si="29"/>
        <v>0</v>
      </c>
      <c r="R131" s="304">
        <f t="shared" si="33"/>
        <v>-24</v>
      </c>
      <c r="S131" s="305" t="str">
        <f t="shared" si="40"/>
        <v/>
      </c>
      <c r="T131" s="305" t="str">
        <f t="shared" si="41"/>
        <v/>
      </c>
      <c r="U131" s="305" t="str">
        <f t="shared" si="42"/>
        <v/>
      </c>
      <c r="V131" s="305" t="str">
        <f t="shared" si="43"/>
        <v/>
      </c>
      <c r="W131" s="314" t="str">
        <f t="shared" si="44"/>
        <v/>
      </c>
      <c r="X131" s="314" t="str">
        <f t="shared" si="45"/>
        <v/>
      </c>
      <c r="Y131" s="326" t="str">
        <f t="shared" si="31"/>
        <v/>
      </c>
    </row>
    <row r="132" spans="7:25" x14ac:dyDescent="0.25">
      <c r="G132" s="303">
        <f t="shared" si="28"/>
        <v>0</v>
      </c>
      <c r="H132" s="304">
        <f t="shared" si="32"/>
        <v>125</v>
      </c>
      <c r="I132" s="305" t="str">
        <f t="shared" si="34"/>
        <v/>
      </c>
      <c r="J132" s="305" t="str">
        <f t="shared" si="35"/>
        <v/>
      </c>
      <c r="K132" s="305" t="str">
        <f t="shared" si="36"/>
        <v/>
      </c>
      <c r="L132" s="305" t="str">
        <f t="shared" si="37"/>
        <v/>
      </c>
      <c r="M132" s="314" t="str">
        <f t="shared" si="38"/>
        <v/>
      </c>
      <c r="N132" s="305" t="str">
        <f t="shared" si="39"/>
        <v/>
      </c>
      <c r="O132" s="327" t="e">
        <f t="shared" si="30"/>
        <v>#NUM!</v>
      </c>
      <c r="P132" s="305"/>
      <c r="Q132" s="303">
        <f t="shared" si="29"/>
        <v>0</v>
      </c>
      <c r="R132" s="304">
        <f t="shared" si="33"/>
        <v>-25</v>
      </c>
      <c r="S132" s="305" t="str">
        <f t="shared" si="40"/>
        <v/>
      </c>
      <c r="T132" s="305" t="str">
        <f t="shared" si="41"/>
        <v/>
      </c>
      <c r="U132" s="305" t="str">
        <f t="shared" si="42"/>
        <v/>
      </c>
      <c r="V132" s="305" t="str">
        <f t="shared" si="43"/>
        <v/>
      </c>
      <c r="W132" s="314" t="str">
        <f t="shared" si="44"/>
        <v/>
      </c>
      <c r="X132" s="314" t="str">
        <f t="shared" si="45"/>
        <v/>
      </c>
      <c r="Y132" s="326" t="str">
        <f t="shared" si="31"/>
        <v/>
      </c>
    </row>
    <row r="133" spans="7:25" x14ac:dyDescent="0.25">
      <c r="G133" s="303">
        <f t="shared" si="28"/>
        <v>0</v>
      </c>
      <c r="H133" s="304">
        <f t="shared" si="32"/>
        <v>126</v>
      </c>
      <c r="I133" s="305" t="str">
        <f t="shared" si="34"/>
        <v/>
      </c>
      <c r="J133" s="305" t="str">
        <f t="shared" si="35"/>
        <v/>
      </c>
      <c r="K133" s="305" t="str">
        <f t="shared" si="36"/>
        <v/>
      </c>
      <c r="L133" s="305" t="str">
        <f t="shared" si="37"/>
        <v/>
      </c>
      <c r="M133" s="314" t="str">
        <f t="shared" si="38"/>
        <v/>
      </c>
      <c r="N133" s="305" t="str">
        <f t="shared" si="39"/>
        <v/>
      </c>
      <c r="O133" s="327" t="e">
        <f t="shared" si="30"/>
        <v>#NUM!</v>
      </c>
      <c r="P133" s="305"/>
      <c r="Q133" s="303">
        <f t="shared" si="29"/>
        <v>0</v>
      </c>
      <c r="R133" s="304">
        <f t="shared" si="33"/>
        <v>-26</v>
      </c>
      <c r="S133" s="305" t="str">
        <f t="shared" si="40"/>
        <v/>
      </c>
      <c r="T133" s="305" t="str">
        <f t="shared" si="41"/>
        <v/>
      </c>
      <c r="U133" s="305" t="str">
        <f t="shared" si="42"/>
        <v/>
      </c>
      <c r="V133" s="305" t="str">
        <f t="shared" si="43"/>
        <v/>
      </c>
      <c r="W133" s="314" t="str">
        <f t="shared" si="44"/>
        <v/>
      </c>
      <c r="X133" s="314" t="str">
        <f t="shared" si="45"/>
        <v/>
      </c>
      <c r="Y133" s="326" t="str">
        <f t="shared" si="31"/>
        <v/>
      </c>
    </row>
    <row r="134" spans="7:25" x14ac:dyDescent="0.25">
      <c r="G134" s="303">
        <f t="shared" si="28"/>
        <v>0</v>
      </c>
      <c r="H134" s="304">
        <f t="shared" si="32"/>
        <v>127</v>
      </c>
      <c r="I134" s="305" t="str">
        <f t="shared" si="34"/>
        <v/>
      </c>
      <c r="J134" s="305" t="str">
        <f t="shared" si="35"/>
        <v/>
      </c>
      <c r="K134" s="305" t="str">
        <f t="shared" si="36"/>
        <v/>
      </c>
      <c r="L134" s="305" t="str">
        <f t="shared" si="37"/>
        <v/>
      </c>
      <c r="M134" s="314" t="str">
        <f t="shared" si="38"/>
        <v/>
      </c>
      <c r="N134" s="305" t="str">
        <f t="shared" si="39"/>
        <v/>
      </c>
      <c r="O134" s="327" t="e">
        <f t="shared" si="30"/>
        <v>#NUM!</v>
      </c>
      <c r="P134" s="305"/>
      <c r="Q134" s="303">
        <f t="shared" si="29"/>
        <v>0</v>
      </c>
      <c r="R134" s="304">
        <f t="shared" si="33"/>
        <v>-27</v>
      </c>
      <c r="S134" s="305" t="str">
        <f t="shared" si="40"/>
        <v/>
      </c>
      <c r="T134" s="305" t="str">
        <f t="shared" si="41"/>
        <v/>
      </c>
      <c r="U134" s="305" t="str">
        <f t="shared" si="42"/>
        <v/>
      </c>
      <c r="V134" s="305" t="str">
        <f t="shared" si="43"/>
        <v/>
      </c>
      <c r="W134" s="314" t="str">
        <f t="shared" si="44"/>
        <v/>
      </c>
      <c r="X134" s="314" t="str">
        <f t="shared" si="45"/>
        <v/>
      </c>
      <c r="Y134" s="326" t="str">
        <f t="shared" si="31"/>
        <v/>
      </c>
    </row>
    <row r="135" spans="7:25" x14ac:dyDescent="0.25">
      <c r="G135" s="303">
        <f t="shared" ref="G135:G198" si="46">IF(H135&lt;=$C$16,1,0)</f>
        <v>0</v>
      </c>
      <c r="H135" s="304">
        <f t="shared" si="32"/>
        <v>128</v>
      </c>
      <c r="I135" s="305" t="str">
        <f t="shared" si="34"/>
        <v/>
      </c>
      <c r="J135" s="305" t="str">
        <f t="shared" si="35"/>
        <v/>
      </c>
      <c r="K135" s="305" t="str">
        <f t="shared" si="36"/>
        <v/>
      </c>
      <c r="L135" s="305" t="str">
        <f t="shared" si="37"/>
        <v/>
      </c>
      <c r="M135" s="314" t="str">
        <f t="shared" si="38"/>
        <v/>
      </c>
      <c r="N135" s="305" t="str">
        <f t="shared" si="39"/>
        <v/>
      </c>
      <c r="O135" s="327" t="e">
        <f t="shared" si="30"/>
        <v>#NUM!</v>
      </c>
      <c r="P135" s="305"/>
      <c r="Q135" s="303">
        <f t="shared" ref="Q135:Q198" si="47">IF(R135&gt;=$C$16,1,0)</f>
        <v>0</v>
      </c>
      <c r="R135" s="304">
        <f t="shared" si="33"/>
        <v>-28</v>
      </c>
      <c r="S135" s="305" t="str">
        <f t="shared" si="40"/>
        <v/>
      </c>
      <c r="T135" s="305" t="str">
        <f t="shared" si="41"/>
        <v/>
      </c>
      <c r="U135" s="305" t="str">
        <f t="shared" si="42"/>
        <v/>
      </c>
      <c r="V135" s="305" t="str">
        <f t="shared" si="43"/>
        <v/>
      </c>
      <c r="W135" s="314" t="str">
        <f t="shared" si="44"/>
        <v/>
      </c>
      <c r="X135" s="314" t="str">
        <f t="shared" si="45"/>
        <v/>
      </c>
      <c r="Y135" s="326" t="str">
        <f t="shared" si="31"/>
        <v/>
      </c>
    </row>
    <row r="136" spans="7:25" x14ac:dyDescent="0.25">
      <c r="G136" s="303">
        <f t="shared" si="46"/>
        <v>0</v>
      </c>
      <c r="H136" s="304">
        <f t="shared" si="32"/>
        <v>129</v>
      </c>
      <c r="I136" s="305" t="str">
        <f t="shared" si="34"/>
        <v/>
      </c>
      <c r="J136" s="305" t="str">
        <f t="shared" si="35"/>
        <v/>
      </c>
      <c r="K136" s="305" t="str">
        <f t="shared" si="36"/>
        <v/>
      </c>
      <c r="L136" s="305" t="str">
        <f t="shared" si="37"/>
        <v/>
      </c>
      <c r="M136" s="314" t="str">
        <f t="shared" si="38"/>
        <v/>
      </c>
      <c r="N136" s="305" t="str">
        <f t="shared" si="39"/>
        <v/>
      </c>
      <c r="O136" s="327" t="e">
        <f t="shared" ref="O136:O199" si="48">IF($C$15=1,IF(AND(O135&lt;=$C$17,M136&lt;=$C$17),M136,""),"")</f>
        <v>#NUM!</v>
      </c>
      <c r="P136" s="305"/>
      <c r="Q136" s="303">
        <f t="shared" si="47"/>
        <v>0</v>
      </c>
      <c r="R136" s="304">
        <f t="shared" si="33"/>
        <v>-29</v>
      </c>
      <c r="S136" s="305" t="str">
        <f t="shared" si="40"/>
        <v/>
      </c>
      <c r="T136" s="305" t="str">
        <f t="shared" si="41"/>
        <v/>
      </c>
      <c r="U136" s="305" t="str">
        <f t="shared" si="42"/>
        <v/>
      </c>
      <c r="V136" s="305" t="str">
        <f t="shared" si="43"/>
        <v/>
      </c>
      <c r="W136" s="314" t="str">
        <f t="shared" si="44"/>
        <v/>
      </c>
      <c r="X136" s="314" t="str">
        <f t="shared" si="45"/>
        <v/>
      </c>
      <c r="Y136" s="326" t="str">
        <f t="shared" ref="Y136:Y199" si="49">IF($C$15=-1,IF(AND(Y135&lt;=$C$17,W136&lt;=$C$17),M136,""),"")</f>
        <v/>
      </c>
    </row>
    <row r="137" spans="7:25" x14ac:dyDescent="0.25">
      <c r="G137" s="303">
        <f t="shared" si="46"/>
        <v>0</v>
      </c>
      <c r="H137" s="304">
        <f t="shared" ref="H137:H200" si="50">H136+1</f>
        <v>130</v>
      </c>
      <c r="I137" s="305" t="str">
        <f t="shared" si="34"/>
        <v/>
      </c>
      <c r="J137" s="305" t="str">
        <f t="shared" si="35"/>
        <v/>
      </c>
      <c r="K137" s="305" t="str">
        <f t="shared" si="36"/>
        <v/>
      </c>
      <c r="L137" s="305" t="str">
        <f t="shared" si="37"/>
        <v/>
      </c>
      <c r="M137" s="314" t="str">
        <f t="shared" si="38"/>
        <v/>
      </c>
      <c r="N137" s="305" t="str">
        <f t="shared" si="39"/>
        <v/>
      </c>
      <c r="O137" s="327" t="e">
        <f t="shared" si="48"/>
        <v>#NUM!</v>
      </c>
      <c r="P137" s="305"/>
      <c r="Q137" s="303">
        <f t="shared" si="47"/>
        <v>0</v>
      </c>
      <c r="R137" s="304">
        <f t="shared" ref="R137:R200" si="51">R136-1</f>
        <v>-30</v>
      </c>
      <c r="S137" s="305" t="str">
        <f t="shared" si="40"/>
        <v/>
      </c>
      <c r="T137" s="305" t="str">
        <f t="shared" si="41"/>
        <v/>
      </c>
      <c r="U137" s="305" t="str">
        <f t="shared" si="42"/>
        <v/>
      </c>
      <c r="V137" s="305" t="str">
        <f t="shared" si="43"/>
        <v/>
      </c>
      <c r="W137" s="314" t="str">
        <f t="shared" si="44"/>
        <v/>
      </c>
      <c r="X137" s="314" t="str">
        <f t="shared" si="45"/>
        <v/>
      </c>
      <c r="Y137" s="326" t="str">
        <f t="shared" si="49"/>
        <v/>
      </c>
    </row>
    <row r="138" spans="7:25" x14ac:dyDescent="0.25">
      <c r="G138" s="303">
        <f t="shared" si="46"/>
        <v>0</v>
      </c>
      <c r="H138" s="304">
        <f t="shared" si="50"/>
        <v>131</v>
      </c>
      <c r="I138" s="305" t="str">
        <f t="shared" si="34"/>
        <v/>
      </c>
      <c r="J138" s="305" t="str">
        <f t="shared" si="35"/>
        <v/>
      </c>
      <c r="K138" s="305" t="str">
        <f t="shared" si="36"/>
        <v/>
      </c>
      <c r="L138" s="305" t="str">
        <f t="shared" si="37"/>
        <v/>
      </c>
      <c r="M138" s="314" t="str">
        <f t="shared" si="38"/>
        <v/>
      </c>
      <c r="N138" s="305" t="str">
        <f t="shared" si="39"/>
        <v/>
      </c>
      <c r="O138" s="327" t="e">
        <f t="shared" si="48"/>
        <v>#NUM!</v>
      </c>
      <c r="P138" s="305"/>
      <c r="Q138" s="303">
        <f t="shared" si="47"/>
        <v>0</v>
      </c>
      <c r="R138" s="304">
        <f t="shared" si="51"/>
        <v>-31</v>
      </c>
      <c r="S138" s="305" t="str">
        <f t="shared" si="40"/>
        <v/>
      </c>
      <c r="T138" s="305" t="str">
        <f t="shared" si="41"/>
        <v/>
      </c>
      <c r="U138" s="305" t="str">
        <f t="shared" si="42"/>
        <v/>
      </c>
      <c r="V138" s="305" t="str">
        <f t="shared" si="43"/>
        <v/>
      </c>
      <c r="W138" s="314" t="str">
        <f t="shared" si="44"/>
        <v/>
      </c>
      <c r="X138" s="314" t="str">
        <f t="shared" si="45"/>
        <v/>
      </c>
      <c r="Y138" s="326" t="str">
        <f t="shared" si="49"/>
        <v/>
      </c>
    </row>
    <row r="139" spans="7:25" x14ac:dyDescent="0.25">
      <c r="G139" s="303">
        <f t="shared" si="46"/>
        <v>0</v>
      </c>
      <c r="H139" s="304">
        <f t="shared" si="50"/>
        <v>132</v>
      </c>
      <c r="I139" s="305" t="str">
        <f t="shared" si="34"/>
        <v/>
      </c>
      <c r="J139" s="305" t="str">
        <f t="shared" si="35"/>
        <v/>
      </c>
      <c r="K139" s="305" t="str">
        <f t="shared" si="36"/>
        <v/>
      </c>
      <c r="L139" s="305" t="str">
        <f t="shared" si="37"/>
        <v/>
      </c>
      <c r="M139" s="314" t="str">
        <f t="shared" si="38"/>
        <v/>
      </c>
      <c r="N139" s="305" t="str">
        <f t="shared" si="39"/>
        <v/>
      </c>
      <c r="O139" s="327" t="e">
        <f t="shared" si="48"/>
        <v>#NUM!</v>
      </c>
      <c r="P139" s="305"/>
      <c r="Q139" s="303">
        <f t="shared" si="47"/>
        <v>0</v>
      </c>
      <c r="R139" s="304">
        <f t="shared" si="51"/>
        <v>-32</v>
      </c>
      <c r="S139" s="305" t="str">
        <f t="shared" si="40"/>
        <v/>
      </c>
      <c r="T139" s="305" t="str">
        <f t="shared" si="41"/>
        <v/>
      </c>
      <c r="U139" s="305" t="str">
        <f t="shared" si="42"/>
        <v/>
      </c>
      <c r="V139" s="305" t="str">
        <f t="shared" si="43"/>
        <v/>
      </c>
      <c r="W139" s="314" t="str">
        <f t="shared" si="44"/>
        <v/>
      </c>
      <c r="X139" s="314" t="str">
        <f t="shared" si="45"/>
        <v/>
      </c>
      <c r="Y139" s="326" t="str">
        <f t="shared" si="49"/>
        <v/>
      </c>
    </row>
    <row r="140" spans="7:25" x14ac:dyDescent="0.25">
      <c r="G140" s="303">
        <f t="shared" si="46"/>
        <v>0</v>
      </c>
      <c r="H140" s="304">
        <f t="shared" si="50"/>
        <v>133</v>
      </c>
      <c r="I140" s="305" t="str">
        <f t="shared" si="34"/>
        <v/>
      </c>
      <c r="J140" s="305" t="str">
        <f t="shared" si="35"/>
        <v/>
      </c>
      <c r="K140" s="305" t="str">
        <f t="shared" si="36"/>
        <v/>
      </c>
      <c r="L140" s="305" t="str">
        <f t="shared" si="37"/>
        <v/>
      </c>
      <c r="M140" s="314" t="str">
        <f t="shared" si="38"/>
        <v/>
      </c>
      <c r="N140" s="305" t="str">
        <f t="shared" si="39"/>
        <v/>
      </c>
      <c r="O140" s="327" t="e">
        <f t="shared" si="48"/>
        <v>#NUM!</v>
      </c>
      <c r="P140" s="305"/>
      <c r="Q140" s="303">
        <f t="shared" si="47"/>
        <v>0</v>
      </c>
      <c r="R140" s="304">
        <f t="shared" si="51"/>
        <v>-33</v>
      </c>
      <c r="S140" s="305" t="str">
        <f t="shared" si="40"/>
        <v/>
      </c>
      <c r="T140" s="305" t="str">
        <f t="shared" si="41"/>
        <v/>
      </c>
      <c r="U140" s="305" t="str">
        <f t="shared" si="42"/>
        <v/>
      </c>
      <c r="V140" s="305" t="str">
        <f t="shared" si="43"/>
        <v/>
      </c>
      <c r="W140" s="314" t="str">
        <f t="shared" si="44"/>
        <v/>
      </c>
      <c r="X140" s="314" t="str">
        <f t="shared" si="45"/>
        <v/>
      </c>
      <c r="Y140" s="326" t="str">
        <f t="shared" si="49"/>
        <v/>
      </c>
    </row>
    <row r="141" spans="7:25" x14ac:dyDescent="0.25">
      <c r="G141" s="303">
        <f t="shared" si="46"/>
        <v>0</v>
      </c>
      <c r="H141" s="304">
        <f t="shared" si="50"/>
        <v>134</v>
      </c>
      <c r="I141" s="305" t="str">
        <f t="shared" ref="I141:I204" si="52">IF(G141,H141,"")</f>
        <v/>
      </c>
      <c r="J141" s="305" t="str">
        <f t="shared" ref="J141:J204" si="53">IF(G141,$D$5-H141,"")</f>
        <v/>
      </c>
      <c r="K141" s="305" t="str">
        <f t="shared" ref="K141:K204" si="54">IF(G141,$B$7-H141,"")</f>
        <v/>
      </c>
      <c r="L141" s="305" t="str">
        <f t="shared" ref="L141:L204" si="55">IF(G141,$D$7-SUM(I141:K141),"")</f>
        <v/>
      </c>
      <c r="M141" s="314" t="str">
        <f t="shared" ref="M141:M204" si="56">IF(G141,M140*(K140*J140)/(L141*I141),"")</f>
        <v/>
      </c>
      <c r="N141" s="305" t="str">
        <f t="shared" ref="N141:N204" si="57">IF(AND(G141=1,I141&lt;=$B$5),M141,"")</f>
        <v/>
      </c>
      <c r="O141" s="327" t="e">
        <f t="shared" si="48"/>
        <v>#NUM!</v>
      </c>
      <c r="P141" s="305"/>
      <c r="Q141" s="303">
        <f t="shared" si="47"/>
        <v>0</v>
      </c>
      <c r="R141" s="304">
        <f t="shared" si="51"/>
        <v>-34</v>
      </c>
      <c r="S141" s="305" t="str">
        <f t="shared" ref="S141:S204" si="58">IF(Q141,R141,"")</f>
        <v/>
      </c>
      <c r="T141" s="305" t="str">
        <f t="shared" ref="T141:T204" si="59">IF(Q141,$D$5-R141,"")</f>
        <v/>
      </c>
      <c r="U141" s="305" t="str">
        <f t="shared" ref="U141:U204" si="60">IF(Q141,$B$7-R141,"")</f>
        <v/>
      </c>
      <c r="V141" s="305" t="str">
        <f t="shared" ref="V141:V204" si="61">IF(Q141,$D$7-SUM(S141:U141),"")</f>
        <v/>
      </c>
      <c r="W141" s="314" t="str">
        <f t="shared" ref="W141:W204" si="62">IF(Q141,W140*(S140*V140)/(U141*T141),"")</f>
        <v/>
      </c>
      <c r="X141" s="314" t="str">
        <f t="shared" ref="X141:X204" si="63">IF(AND(Q141=1,S141&gt;=$B$5),W141,"")</f>
        <v/>
      </c>
      <c r="Y141" s="326" t="str">
        <f t="shared" si="49"/>
        <v/>
      </c>
    </row>
    <row r="142" spans="7:25" x14ac:dyDescent="0.25">
      <c r="G142" s="303">
        <f t="shared" si="46"/>
        <v>0</v>
      </c>
      <c r="H142" s="304">
        <f t="shared" si="50"/>
        <v>135</v>
      </c>
      <c r="I142" s="305" t="str">
        <f t="shared" si="52"/>
        <v/>
      </c>
      <c r="J142" s="305" t="str">
        <f t="shared" si="53"/>
        <v/>
      </c>
      <c r="K142" s="305" t="str">
        <f t="shared" si="54"/>
        <v/>
      </c>
      <c r="L142" s="305" t="str">
        <f t="shared" si="55"/>
        <v/>
      </c>
      <c r="M142" s="314" t="str">
        <f t="shared" si="56"/>
        <v/>
      </c>
      <c r="N142" s="305" t="str">
        <f t="shared" si="57"/>
        <v/>
      </c>
      <c r="O142" s="327" t="e">
        <f t="shared" si="48"/>
        <v>#NUM!</v>
      </c>
      <c r="P142" s="305"/>
      <c r="Q142" s="303">
        <f t="shared" si="47"/>
        <v>0</v>
      </c>
      <c r="R142" s="304">
        <f t="shared" si="51"/>
        <v>-35</v>
      </c>
      <c r="S142" s="305" t="str">
        <f t="shared" si="58"/>
        <v/>
      </c>
      <c r="T142" s="305" t="str">
        <f t="shared" si="59"/>
        <v/>
      </c>
      <c r="U142" s="305" t="str">
        <f t="shared" si="60"/>
        <v/>
      </c>
      <c r="V142" s="305" t="str">
        <f t="shared" si="61"/>
        <v/>
      </c>
      <c r="W142" s="314" t="str">
        <f t="shared" si="62"/>
        <v/>
      </c>
      <c r="X142" s="314" t="str">
        <f t="shared" si="63"/>
        <v/>
      </c>
      <c r="Y142" s="326" t="str">
        <f t="shared" si="49"/>
        <v/>
      </c>
    </row>
    <row r="143" spans="7:25" x14ac:dyDescent="0.25">
      <c r="G143" s="303">
        <f t="shared" si="46"/>
        <v>0</v>
      </c>
      <c r="H143" s="304">
        <f t="shared" si="50"/>
        <v>136</v>
      </c>
      <c r="I143" s="305" t="str">
        <f t="shared" si="52"/>
        <v/>
      </c>
      <c r="J143" s="305" t="str">
        <f t="shared" si="53"/>
        <v/>
      </c>
      <c r="K143" s="305" t="str">
        <f t="shared" si="54"/>
        <v/>
      </c>
      <c r="L143" s="305" t="str">
        <f t="shared" si="55"/>
        <v/>
      </c>
      <c r="M143" s="314" t="str">
        <f t="shared" si="56"/>
        <v/>
      </c>
      <c r="N143" s="305" t="str">
        <f t="shared" si="57"/>
        <v/>
      </c>
      <c r="O143" s="327" t="e">
        <f t="shared" si="48"/>
        <v>#NUM!</v>
      </c>
      <c r="P143" s="305"/>
      <c r="Q143" s="303">
        <f t="shared" si="47"/>
        <v>0</v>
      </c>
      <c r="R143" s="304">
        <f t="shared" si="51"/>
        <v>-36</v>
      </c>
      <c r="S143" s="305" t="str">
        <f t="shared" si="58"/>
        <v/>
      </c>
      <c r="T143" s="305" t="str">
        <f t="shared" si="59"/>
        <v/>
      </c>
      <c r="U143" s="305" t="str">
        <f t="shared" si="60"/>
        <v/>
      </c>
      <c r="V143" s="305" t="str">
        <f t="shared" si="61"/>
        <v/>
      </c>
      <c r="W143" s="314" t="str">
        <f t="shared" si="62"/>
        <v/>
      </c>
      <c r="X143" s="314" t="str">
        <f t="shared" si="63"/>
        <v/>
      </c>
      <c r="Y143" s="326" t="str">
        <f t="shared" si="49"/>
        <v/>
      </c>
    </row>
    <row r="144" spans="7:25" x14ac:dyDescent="0.25">
      <c r="G144" s="303">
        <f t="shared" si="46"/>
        <v>0</v>
      </c>
      <c r="H144" s="304">
        <f t="shared" si="50"/>
        <v>137</v>
      </c>
      <c r="I144" s="305" t="str">
        <f t="shared" si="52"/>
        <v/>
      </c>
      <c r="J144" s="305" t="str">
        <f t="shared" si="53"/>
        <v/>
      </c>
      <c r="K144" s="305" t="str">
        <f t="shared" si="54"/>
        <v/>
      </c>
      <c r="L144" s="305" t="str">
        <f t="shared" si="55"/>
        <v/>
      </c>
      <c r="M144" s="314" t="str">
        <f t="shared" si="56"/>
        <v/>
      </c>
      <c r="N144" s="305" t="str">
        <f t="shared" si="57"/>
        <v/>
      </c>
      <c r="O144" s="327" t="e">
        <f t="shared" si="48"/>
        <v>#NUM!</v>
      </c>
      <c r="P144" s="305"/>
      <c r="Q144" s="303">
        <f t="shared" si="47"/>
        <v>0</v>
      </c>
      <c r="R144" s="304">
        <f t="shared" si="51"/>
        <v>-37</v>
      </c>
      <c r="S144" s="305" t="str">
        <f t="shared" si="58"/>
        <v/>
      </c>
      <c r="T144" s="305" t="str">
        <f t="shared" si="59"/>
        <v/>
      </c>
      <c r="U144" s="305" t="str">
        <f t="shared" si="60"/>
        <v/>
      </c>
      <c r="V144" s="305" t="str">
        <f t="shared" si="61"/>
        <v/>
      </c>
      <c r="W144" s="314" t="str">
        <f t="shared" si="62"/>
        <v/>
      </c>
      <c r="X144" s="314" t="str">
        <f t="shared" si="63"/>
        <v/>
      </c>
      <c r="Y144" s="326" t="str">
        <f t="shared" si="49"/>
        <v/>
      </c>
    </row>
    <row r="145" spans="7:25" x14ac:dyDescent="0.25">
      <c r="G145" s="303">
        <f t="shared" si="46"/>
        <v>0</v>
      </c>
      <c r="H145" s="304">
        <f t="shared" si="50"/>
        <v>138</v>
      </c>
      <c r="I145" s="305" t="str">
        <f t="shared" si="52"/>
        <v/>
      </c>
      <c r="J145" s="305" t="str">
        <f t="shared" si="53"/>
        <v/>
      </c>
      <c r="K145" s="305" t="str">
        <f t="shared" si="54"/>
        <v/>
      </c>
      <c r="L145" s="305" t="str">
        <f t="shared" si="55"/>
        <v/>
      </c>
      <c r="M145" s="314" t="str">
        <f t="shared" si="56"/>
        <v/>
      </c>
      <c r="N145" s="305" t="str">
        <f t="shared" si="57"/>
        <v/>
      </c>
      <c r="O145" s="327" t="e">
        <f t="shared" si="48"/>
        <v>#NUM!</v>
      </c>
      <c r="P145" s="305"/>
      <c r="Q145" s="303">
        <f t="shared" si="47"/>
        <v>0</v>
      </c>
      <c r="R145" s="304">
        <f t="shared" si="51"/>
        <v>-38</v>
      </c>
      <c r="S145" s="305" t="str">
        <f t="shared" si="58"/>
        <v/>
      </c>
      <c r="T145" s="305" t="str">
        <f t="shared" si="59"/>
        <v/>
      </c>
      <c r="U145" s="305" t="str">
        <f t="shared" si="60"/>
        <v/>
      </c>
      <c r="V145" s="305" t="str">
        <f t="shared" si="61"/>
        <v/>
      </c>
      <c r="W145" s="314" t="str">
        <f t="shared" si="62"/>
        <v/>
      </c>
      <c r="X145" s="314" t="str">
        <f t="shared" si="63"/>
        <v/>
      </c>
      <c r="Y145" s="326" t="str">
        <f t="shared" si="49"/>
        <v/>
      </c>
    </row>
    <row r="146" spans="7:25" x14ac:dyDescent="0.25">
      <c r="G146" s="303">
        <f t="shared" si="46"/>
        <v>0</v>
      </c>
      <c r="H146" s="304">
        <f t="shared" si="50"/>
        <v>139</v>
      </c>
      <c r="I146" s="305" t="str">
        <f t="shared" si="52"/>
        <v/>
      </c>
      <c r="J146" s="305" t="str">
        <f t="shared" si="53"/>
        <v/>
      </c>
      <c r="K146" s="305" t="str">
        <f t="shared" si="54"/>
        <v/>
      </c>
      <c r="L146" s="305" t="str">
        <f t="shared" si="55"/>
        <v/>
      </c>
      <c r="M146" s="314" t="str">
        <f t="shared" si="56"/>
        <v/>
      </c>
      <c r="N146" s="305" t="str">
        <f t="shared" si="57"/>
        <v/>
      </c>
      <c r="O146" s="327" t="e">
        <f t="shared" si="48"/>
        <v>#NUM!</v>
      </c>
      <c r="P146" s="305"/>
      <c r="Q146" s="303">
        <f t="shared" si="47"/>
        <v>0</v>
      </c>
      <c r="R146" s="304">
        <f t="shared" si="51"/>
        <v>-39</v>
      </c>
      <c r="S146" s="305" t="str">
        <f t="shared" si="58"/>
        <v/>
      </c>
      <c r="T146" s="305" t="str">
        <f t="shared" si="59"/>
        <v/>
      </c>
      <c r="U146" s="305" t="str">
        <f t="shared" si="60"/>
        <v/>
      </c>
      <c r="V146" s="305" t="str">
        <f t="shared" si="61"/>
        <v/>
      </c>
      <c r="W146" s="314" t="str">
        <f t="shared" si="62"/>
        <v/>
      </c>
      <c r="X146" s="314" t="str">
        <f t="shared" si="63"/>
        <v/>
      </c>
      <c r="Y146" s="326" t="str">
        <f t="shared" si="49"/>
        <v/>
      </c>
    </row>
    <row r="147" spans="7:25" x14ac:dyDescent="0.25">
      <c r="G147" s="303">
        <f t="shared" si="46"/>
        <v>0</v>
      </c>
      <c r="H147" s="304">
        <f t="shared" si="50"/>
        <v>140</v>
      </c>
      <c r="I147" s="305" t="str">
        <f t="shared" si="52"/>
        <v/>
      </c>
      <c r="J147" s="305" t="str">
        <f t="shared" si="53"/>
        <v/>
      </c>
      <c r="K147" s="305" t="str">
        <f t="shared" si="54"/>
        <v/>
      </c>
      <c r="L147" s="305" t="str">
        <f t="shared" si="55"/>
        <v/>
      </c>
      <c r="M147" s="314" t="str">
        <f t="shared" si="56"/>
        <v/>
      </c>
      <c r="N147" s="305" t="str">
        <f t="shared" si="57"/>
        <v/>
      </c>
      <c r="O147" s="327" t="e">
        <f t="shared" si="48"/>
        <v>#NUM!</v>
      </c>
      <c r="P147" s="305"/>
      <c r="Q147" s="303">
        <f t="shared" si="47"/>
        <v>0</v>
      </c>
      <c r="R147" s="304">
        <f t="shared" si="51"/>
        <v>-40</v>
      </c>
      <c r="S147" s="305" t="str">
        <f t="shared" si="58"/>
        <v/>
      </c>
      <c r="T147" s="305" t="str">
        <f t="shared" si="59"/>
        <v/>
      </c>
      <c r="U147" s="305" t="str">
        <f t="shared" si="60"/>
        <v/>
      </c>
      <c r="V147" s="305" t="str">
        <f t="shared" si="61"/>
        <v/>
      </c>
      <c r="W147" s="314" t="str">
        <f t="shared" si="62"/>
        <v/>
      </c>
      <c r="X147" s="314" t="str">
        <f t="shared" si="63"/>
        <v/>
      </c>
      <c r="Y147" s="326" t="str">
        <f t="shared" si="49"/>
        <v/>
      </c>
    </row>
    <row r="148" spans="7:25" x14ac:dyDescent="0.25">
      <c r="G148" s="303">
        <f t="shared" si="46"/>
        <v>0</v>
      </c>
      <c r="H148" s="304">
        <f t="shared" si="50"/>
        <v>141</v>
      </c>
      <c r="I148" s="305" t="str">
        <f t="shared" si="52"/>
        <v/>
      </c>
      <c r="J148" s="305" t="str">
        <f t="shared" si="53"/>
        <v/>
      </c>
      <c r="K148" s="305" t="str">
        <f t="shared" si="54"/>
        <v/>
      </c>
      <c r="L148" s="305" t="str">
        <f t="shared" si="55"/>
        <v/>
      </c>
      <c r="M148" s="314" t="str">
        <f t="shared" si="56"/>
        <v/>
      </c>
      <c r="N148" s="305" t="str">
        <f t="shared" si="57"/>
        <v/>
      </c>
      <c r="O148" s="327" t="e">
        <f t="shared" si="48"/>
        <v>#NUM!</v>
      </c>
      <c r="P148" s="305"/>
      <c r="Q148" s="303">
        <f t="shared" si="47"/>
        <v>0</v>
      </c>
      <c r="R148" s="304">
        <f t="shared" si="51"/>
        <v>-41</v>
      </c>
      <c r="S148" s="305" t="str">
        <f t="shared" si="58"/>
        <v/>
      </c>
      <c r="T148" s="305" t="str">
        <f t="shared" si="59"/>
        <v/>
      </c>
      <c r="U148" s="305" t="str">
        <f t="shared" si="60"/>
        <v/>
      </c>
      <c r="V148" s="305" t="str">
        <f t="shared" si="61"/>
        <v/>
      </c>
      <c r="W148" s="314" t="str">
        <f t="shared" si="62"/>
        <v/>
      </c>
      <c r="X148" s="314" t="str">
        <f t="shared" si="63"/>
        <v/>
      </c>
      <c r="Y148" s="326" t="str">
        <f t="shared" si="49"/>
        <v/>
      </c>
    </row>
    <row r="149" spans="7:25" x14ac:dyDescent="0.25">
      <c r="G149" s="303">
        <f t="shared" si="46"/>
        <v>0</v>
      </c>
      <c r="H149" s="304">
        <f t="shared" si="50"/>
        <v>142</v>
      </c>
      <c r="I149" s="305" t="str">
        <f t="shared" si="52"/>
        <v/>
      </c>
      <c r="J149" s="305" t="str">
        <f t="shared" si="53"/>
        <v/>
      </c>
      <c r="K149" s="305" t="str">
        <f t="shared" si="54"/>
        <v/>
      </c>
      <c r="L149" s="305" t="str">
        <f t="shared" si="55"/>
        <v/>
      </c>
      <c r="M149" s="314" t="str">
        <f t="shared" si="56"/>
        <v/>
      </c>
      <c r="N149" s="305" t="str">
        <f t="shared" si="57"/>
        <v/>
      </c>
      <c r="O149" s="327" t="e">
        <f t="shared" si="48"/>
        <v>#NUM!</v>
      </c>
      <c r="P149" s="305"/>
      <c r="Q149" s="303">
        <f t="shared" si="47"/>
        <v>0</v>
      </c>
      <c r="R149" s="304">
        <f t="shared" si="51"/>
        <v>-42</v>
      </c>
      <c r="S149" s="305" t="str">
        <f t="shared" si="58"/>
        <v/>
      </c>
      <c r="T149" s="305" t="str">
        <f t="shared" si="59"/>
        <v/>
      </c>
      <c r="U149" s="305" t="str">
        <f t="shared" si="60"/>
        <v/>
      </c>
      <c r="V149" s="305" t="str">
        <f t="shared" si="61"/>
        <v/>
      </c>
      <c r="W149" s="314" t="str">
        <f t="shared" si="62"/>
        <v/>
      </c>
      <c r="X149" s="314" t="str">
        <f t="shared" si="63"/>
        <v/>
      </c>
      <c r="Y149" s="326" t="str">
        <f t="shared" si="49"/>
        <v/>
      </c>
    </row>
    <row r="150" spans="7:25" x14ac:dyDescent="0.25">
      <c r="G150" s="303">
        <f t="shared" si="46"/>
        <v>0</v>
      </c>
      <c r="H150" s="304">
        <f t="shared" si="50"/>
        <v>143</v>
      </c>
      <c r="I150" s="305" t="str">
        <f t="shared" si="52"/>
        <v/>
      </c>
      <c r="J150" s="305" t="str">
        <f t="shared" si="53"/>
        <v/>
      </c>
      <c r="K150" s="305" t="str">
        <f t="shared" si="54"/>
        <v/>
      </c>
      <c r="L150" s="305" t="str">
        <f t="shared" si="55"/>
        <v/>
      </c>
      <c r="M150" s="314" t="str">
        <f t="shared" si="56"/>
        <v/>
      </c>
      <c r="N150" s="305" t="str">
        <f t="shared" si="57"/>
        <v/>
      </c>
      <c r="O150" s="327" t="e">
        <f t="shared" si="48"/>
        <v>#NUM!</v>
      </c>
      <c r="P150" s="305"/>
      <c r="Q150" s="303">
        <f t="shared" si="47"/>
        <v>0</v>
      </c>
      <c r="R150" s="304">
        <f t="shared" si="51"/>
        <v>-43</v>
      </c>
      <c r="S150" s="305" t="str">
        <f t="shared" si="58"/>
        <v/>
      </c>
      <c r="T150" s="305" t="str">
        <f t="shared" si="59"/>
        <v/>
      </c>
      <c r="U150" s="305" t="str">
        <f t="shared" si="60"/>
        <v/>
      </c>
      <c r="V150" s="305" t="str">
        <f t="shared" si="61"/>
        <v/>
      </c>
      <c r="W150" s="314" t="str">
        <f t="shared" si="62"/>
        <v/>
      </c>
      <c r="X150" s="314" t="str">
        <f t="shared" si="63"/>
        <v/>
      </c>
      <c r="Y150" s="326" t="str">
        <f t="shared" si="49"/>
        <v/>
      </c>
    </row>
    <row r="151" spans="7:25" x14ac:dyDescent="0.25">
      <c r="G151" s="303">
        <f t="shared" si="46"/>
        <v>0</v>
      </c>
      <c r="H151" s="304">
        <f t="shared" si="50"/>
        <v>144</v>
      </c>
      <c r="I151" s="305" t="str">
        <f t="shared" si="52"/>
        <v/>
      </c>
      <c r="J151" s="305" t="str">
        <f t="shared" si="53"/>
        <v/>
      </c>
      <c r="K151" s="305" t="str">
        <f t="shared" si="54"/>
        <v/>
      </c>
      <c r="L151" s="305" t="str">
        <f t="shared" si="55"/>
        <v/>
      </c>
      <c r="M151" s="314" t="str">
        <f t="shared" si="56"/>
        <v/>
      </c>
      <c r="N151" s="305" t="str">
        <f t="shared" si="57"/>
        <v/>
      </c>
      <c r="O151" s="327" t="e">
        <f t="shared" si="48"/>
        <v>#NUM!</v>
      </c>
      <c r="P151" s="305"/>
      <c r="Q151" s="303">
        <f t="shared" si="47"/>
        <v>0</v>
      </c>
      <c r="R151" s="304">
        <f t="shared" si="51"/>
        <v>-44</v>
      </c>
      <c r="S151" s="305" t="str">
        <f t="shared" si="58"/>
        <v/>
      </c>
      <c r="T151" s="305" t="str">
        <f t="shared" si="59"/>
        <v/>
      </c>
      <c r="U151" s="305" t="str">
        <f t="shared" si="60"/>
        <v/>
      </c>
      <c r="V151" s="305" t="str">
        <f t="shared" si="61"/>
        <v/>
      </c>
      <c r="W151" s="314" t="str">
        <f t="shared" si="62"/>
        <v/>
      </c>
      <c r="X151" s="314" t="str">
        <f t="shared" si="63"/>
        <v/>
      </c>
      <c r="Y151" s="326" t="str">
        <f t="shared" si="49"/>
        <v/>
      </c>
    </row>
    <row r="152" spans="7:25" x14ac:dyDescent="0.25">
      <c r="G152" s="303">
        <f t="shared" si="46"/>
        <v>0</v>
      </c>
      <c r="H152" s="304">
        <f t="shared" si="50"/>
        <v>145</v>
      </c>
      <c r="I152" s="305" t="str">
        <f t="shared" si="52"/>
        <v/>
      </c>
      <c r="J152" s="305" t="str">
        <f t="shared" si="53"/>
        <v/>
      </c>
      <c r="K152" s="305" t="str">
        <f t="shared" si="54"/>
        <v/>
      </c>
      <c r="L152" s="305" t="str">
        <f t="shared" si="55"/>
        <v/>
      </c>
      <c r="M152" s="314" t="str">
        <f t="shared" si="56"/>
        <v/>
      </c>
      <c r="N152" s="305" t="str">
        <f t="shared" si="57"/>
        <v/>
      </c>
      <c r="O152" s="327" t="e">
        <f t="shared" si="48"/>
        <v>#NUM!</v>
      </c>
      <c r="P152" s="305"/>
      <c r="Q152" s="303">
        <f t="shared" si="47"/>
        <v>0</v>
      </c>
      <c r="R152" s="304">
        <f t="shared" si="51"/>
        <v>-45</v>
      </c>
      <c r="S152" s="305" t="str">
        <f t="shared" si="58"/>
        <v/>
      </c>
      <c r="T152" s="305" t="str">
        <f t="shared" si="59"/>
        <v/>
      </c>
      <c r="U152" s="305" t="str">
        <f t="shared" si="60"/>
        <v/>
      </c>
      <c r="V152" s="305" t="str">
        <f t="shared" si="61"/>
        <v/>
      </c>
      <c r="W152" s="314" t="str">
        <f t="shared" si="62"/>
        <v/>
      </c>
      <c r="X152" s="314" t="str">
        <f t="shared" si="63"/>
        <v/>
      </c>
      <c r="Y152" s="326" t="str">
        <f t="shared" si="49"/>
        <v/>
      </c>
    </row>
    <row r="153" spans="7:25" x14ac:dyDescent="0.25">
      <c r="G153" s="303">
        <f t="shared" si="46"/>
        <v>0</v>
      </c>
      <c r="H153" s="304">
        <f t="shared" si="50"/>
        <v>146</v>
      </c>
      <c r="I153" s="305" t="str">
        <f t="shared" si="52"/>
        <v/>
      </c>
      <c r="J153" s="305" t="str">
        <f t="shared" si="53"/>
        <v/>
      </c>
      <c r="K153" s="305" t="str">
        <f t="shared" si="54"/>
        <v/>
      </c>
      <c r="L153" s="305" t="str">
        <f t="shared" si="55"/>
        <v/>
      </c>
      <c r="M153" s="314" t="str">
        <f t="shared" si="56"/>
        <v/>
      </c>
      <c r="N153" s="305" t="str">
        <f t="shared" si="57"/>
        <v/>
      </c>
      <c r="O153" s="327" t="e">
        <f t="shared" si="48"/>
        <v>#NUM!</v>
      </c>
      <c r="P153" s="305"/>
      <c r="Q153" s="303">
        <f t="shared" si="47"/>
        <v>0</v>
      </c>
      <c r="R153" s="304">
        <f t="shared" si="51"/>
        <v>-46</v>
      </c>
      <c r="S153" s="305" t="str">
        <f t="shared" si="58"/>
        <v/>
      </c>
      <c r="T153" s="305" t="str">
        <f t="shared" si="59"/>
        <v/>
      </c>
      <c r="U153" s="305" t="str">
        <f t="shared" si="60"/>
        <v/>
      </c>
      <c r="V153" s="305" t="str">
        <f t="shared" si="61"/>
        <v/>
      </c>
      <c r="W153" s="314" t="str">
        <f t="shared" si="62"/>
        <v/>
      </c>
      <c r="X153" s="314" t="str">
        <f t="shared" si="63"/>
        <v/>
      </c>
      <c r="Y153" s="326" t="str">
        <f t="shared" si="49"/>
        <v/>
      </c>
    </row>
    <row r="154" spans="7:25" x14ac:dyDescent="0.25">
      <c r="G154" s="303">
        <f t="shared" si="46"/>
        <v>0</v>
      </c>
      <c r="H154" s="304">
        <f t="shared" si="50"/>
        <v>147</v>
      </c>
      <c r="I154" s="305" t="str">
        <f t="shared" si="52"/>
        <v/>
      </c>
      <c r="J154" s="305" t="str">
        <f t="shared" si="53"/>
        <v/>
      </c>
      <c r="K154" s="305" t="str">
        <f t="shared" si="54"/>
        <v/>
      </c>
      <c r="L154" s="305" t="str">
        <f t="shared" si="55"/>
        <v/>
      </c>
      <c r="M154" s="314" t="str">
        <f t="shared" si="56"/>
        <v/>
      </c>
      <c r="N154" s="305" t="str">
        <f t="shared" si="57"/>
        <v/>
      </c>
      <c r="O154" s="327" t="e">
        <f t="shared" si="48"/>
        <v>#NUM!</v>
      </c>
      <c r="P154" s="305"/>
      <c r="Q154" s="303">
        <f t="shared" si="47"/>
        <v>0</v>
      </c>
      <c r="R154" s="304">
        <f t="shared" si="51"/>
        <v>-47</v>
      </c>
      <c r="S154" s="305" t="str">
        <f t="shared" si="58"/>
        <v/>
      </c>
      <c r="T154" s="305" t="str">
        <f t="shared" si="59"/>
        <v/>
      </c>
      <c r="U154" s="305" t="str">
        <f t="shared" si="60"/>
        <v/>
      </c>
      <c r="V154" s="305" t="str">
        <f t="shared" si="61"/>
        <v/>
      </c>
      <c r="W154" s="314" t="str">
        <f t="shared" si="62"/>
        <v/>
      </c>
      <c r="X154" s="314" t="str">
        <f t="shared" si="63"/>
        <v/>
      </c>
      <c r="Y154" s="326" t="str">
        <f t="shared" si="49"/>
        <v/>
      </c>
    </row>
    <row r="155" spans="7:25" x14ac:dyDescent="0.25">
      <c r="G155" s="303">
        <f t="shared" si="46"/>
        <v>0</v>
      </c>
      <c r="H155" s="304">
        <f t="shared" si="50"/>
        <v>148</v>
      </c>
      <c r="I155" s="305" t="str">
        <f t="shared" si="52"/>
        <v/>
      </c>
      <c r="J155" s="305" t="str">
        <f t="shared" si="53"/>
        <v/>
      </c>
      <c r="K155" s="305" t="str">
        <f t="shared" si="54"/>
        <v/>
      </c>
      <c r="L155" s="305" t="str">
        <f t="shared" si="55"/>
        <v/>
      </c>
      <c r="M155" s="314" t="str">
        <f t="shared" si="56"/>
        <v/>
      </c>
      <c r="N155" s="305" t="str">
        <f t="shared" si="57"/>
        <v/>
      </c>
      <c r="O155" s="327" t="e">
        <f t="shared" si="48"/>
        <v>#NUM!</v>
      </c>
      <c r="P155" s="305"/>
      <c r="Q155" s="303">
        <f t="shared" si="47"/>
        <v>0</v>
      </c>
      <c r="R155" s="304">
        <f t="shared" si="51"/>
        <v>-48</v>
      </c>
      <c r="S155" s="305" t="str">
        <f t="shared" si="58"/>
        <v/>
      </c>
      <c r="T155" s="305" t="str">
        <f t="shared" si="59"/>
        <v/>
      </c>
      <c r="U155" s="305" t="str">
        <f t="shared" si="60"/>
        <v/>
      </c>
      <c r="V155" s="305" t="str">
        <f t="shared" si="61"/>
        <v/>
      </c>
      <c r="W155" s="314" t="str">
        <f t="shared" si="62"/>
        <v/>
      </c>
      <c r="X155" s="314" t="str">
        <f t="shared" si="63"/>
        <v/>
      </c>
      <c r="Y155" s="326" t="str">
        <f t="shared" si="49"/>
        <v/>
      </c>
    </row>
    <row r="156" spans="7:25" x14ac:dyDescent="0.25">
      <c r="G156" s="303">
        <f t="shared" si="46"/>
        <v>0</v>
      </c>
      <c r="H156" s="304">
        <f t="shared" si="50"/>
        <v>149</v>
      </c>
      <c r="I156" s="305" t="str">
        <f t="shared" si="52"/>
        <v/>
      </c>
      <c r="J156" s="305" t="str">
        <f t="shared" si="53"/>
        <v/>
      </c>
      <c r="K156" s="305" t="str">
        <f t="shared" si="54"/>
        <v/>
      </c>
      <c r="L156" s="305" t="str">
        <f t="shared" si="55"/>
        <v/>
      </c>
      <c r="M156" s="314" t="str">
        <f t="shared" si="56"/>
        <v/>
      </c>
      <c r="N156" s="305" t="str">
        <f t="shared" si="57"/>
        <v/>
      </c>
      <c r="O156" s="327" t="e">
        <f t="shared" si="48"/>
        <v>#NUM!</v>
      </c>
      <c r="P156" s="305"/>
      <c r="Q156" s="303">
        <f t="shared" si="47"/>
        <v>0</v>
      </c>
      <c r="R156" s="304">
        <f t="shared" si="51"/>
        <v>-49</v>
      </c>
      <c r="S156" s="305" t="str">
        <f t="shared" si="58"/>
        <v/>
      </c>
      <c r="T156" s="305" t="str">
        <f t="shared" si="59"/>
        <v/>
      </c>
      <c r="U156" s="305" t="str">
        <f t="shared" si="60"/>
        <v/>
      </c>
      <c r="V156" s="305" t="str">
        <f t="shared" si="61"/>
        <v/>
      </c>
      <c r="W156" s="314" t="str">
        <f t="shared" si="62"/>
        <v/>
      </c>
      <c r="X156" s="314" t="str">
        <f t="shared" si="63"/>
        <v/>
      </c>
      <c r="Y156" s="326" t="str">
        <f t="shared" si="49"/>
        <v/>
      </c>
    </row>
    <row r="157" spans="7:25" x14ac:dyDescent="0.25">
      <c r="G157" s="303">
        <f t="shared" si="46"/>
        <v>0</v>
      </c>
      <c r="H157" s="304">
        <f t="shared" si="50"/>
        <v>150</v>
      </c>
      <c r="I157" s="305" t="str">
        <f t="shared" si="52"/>
        <v/>
      </c>
      <c r="J157" s="305" t="str">
        <f t="shared" si="53"/>
        <v/>
      </c>
      <c r="K157" s="305" t="str">
        <f t="shared" si="54"/>
        <v/>
      </c>
      <c r="L157" s="305" t="str">
        <f t="shared" si="55"/>
        <v/>
      </c>
      <c r="M157" s="314" t="str">
        <f t="shared" si="56"/>
        <v/>
      </c>
      <c r="N157" s="305" t="str">
        <f t="shared" si="57"/>
        <v/>
      </c>
      <c r="O157" s="327" t="e">
        <f t="shared" si="48"/>
        <v>#NUM!</v>
      </c>
      <c r="P157" s="305"/>
      <c r="Q157" s="303">
        <f t="shared" si="47"/>
        <v>0</v>
      </c>
      <c r="R157" s="304">
        <f t="shared" si="51"/>
        <v>-50</v>
      </c>
      <c r="S157" s="305" t="str">
        <f t="shared" si="58"/>
        <v/>
      </c>
      <c r="T157" s="305" t="str">
        <f t="shared" si="59"/>
        <v/>
      </c>
      <c r="U157" s="305" t="str">
        <f t="shared" si="60"/>
        <v/>
      </c>
      <c r="V157" s="305" t="str">
        <f t="shared" si="61"/>
        <v/>
      </c>
      <c r="W157" s="314" t="str">
        <f t="shared" si="62"/>
        <v/>
      </c>
      <c r="X157" s="314" t="str">
        <f t="shared" si="63"/>
        <v/>
      </c>
      <c r="Y157" s="326" t="str">
        <f t="shared" si="49"/>
        <v/>
      </c>
    </row>
    <row r="158" spans="7:25" x14ac:dyDescent="0.25">
      <c r="G158" s="303">
        <f t="shared" si="46"/>
        <v>0</v>
      </c>
      <c r="H158" s="304">
        <f t="shared" si="50"/>
        <v>151</v>
      </c>
      <c r="I158" s="305" t="str">
        <f t="shared" si="52"/>
        <v/>
      </c>
      <c r="J158" s="305" t="str">
        <f t="shared" si="53"/>
        <v/>
      </c>
      <c r="K158" s="305" t="str">
        <f t="shared" si="54"/>
        <v/>
      </c>
      <c r="L158" s="305" t="str">
        <f t="shared" si="55"/>
        <v/>
      </c>
      <c r="M158" s="314" t="str">
        <f t="shared" si="56"/>
        <v/>
      </c>
      <c r="N158" s="305" t="str">
        <f t="shared" si="57"/>
        <v/>
      </c>
      <c r="O158" s="327" t="e">
        <f t="shared" si="48"/>
        <v>#NUM!</v>
      </c>
      <c r="P158" s="305"/>
      <c r="Q158" s="303">
        <f t="shared" si="47"/>
        <v>0</v>
      </c>
      <c r="R158" s="304">
        <f t="shared" si="51"/>
        <v>-51</v>
      </c>
      <c r="S158" s="305" t="str">
        <f t="shared" si="58"/>
        <v/>
      </c>
      <c r="T158" s="305" t="str">
        <f t="shared" si="59"/>
        <v/>
      </c>
      <c r="U158" s="305" t="str">
        <f t="shared" si="60"/>
        <v/>
      </c>
      <c r="V158" s="305" t="str">
        <f t="shared" si="61"/>
        <v/>
      </c>
      <c r="W158" s="314" t="str">
        <f t="shared" si="62"/>
        <v/>
      </c>
      <c r="X158" s="314" t="str">
        <f t="shared" si="63"/>
        <v/>
      </c>
      <c r="Y158" s="326" t="str">
        <f t="shared" si="49"/>
        <v/>
      </c>
    </row>
    <row r="159" spans="7:25" x14ac:dyDescent="0.25">
      <c r="G159" s="303">
        <f t="shared" si="46"/>
        <v>0</v>
      </c>
      <c r="H159" s="304">
        <f t="shared" si="50"/>
        <v>152</v>
      </c>
      <c r="I159" s="305" t="str">
        <f t="shared" si="52"/>
        <v/>
      </c>
      <c r="J159" s="305" t="str">
        <f t="shared" si="53"/>
        <v/>
      </c>
      <c r="K159" s="305" t="str">
        <f t="shared" si="54"/>
        <v/>
      </c>
      <c r="L159" s="305" t="str">
        <f t="shared" si="55"/>
        <v/>
      </c>
      <c r="M159" s="314" t="str">
        <f t="shared" si="56"/>
        <v/>
      </c>
      <c r="N159" s="305" t="str">
        <f t="shared" si="57"/>
        <v/>
      </c>
      <c r="O159" s="327" t="e">
        <f t="shared" si="48"/>
        <v>#NUM!</v>
      </c>
      <c r="P159" s="305"/>
      <c r="Q159" s="303">
        <f t="shared" si="47"/>
        <v>0</v>
      </c>
      <c r="R159" s="304">
        <f t="shared" si="51"/>
        <v>-52</v>
      </c>
      <c r="S159" s="305" t="str">
        <f t="shared" si="58"/>
        <v/>
      </c>
      <c r="T159" s="305" t="str">
        <f t="shared" si="59"/>
        <v/>
      </c>
      <c r="U159" s="305" t="str">
        <f t="shared" si="60"/>
        <v/>
      </c>
      <c r="V159" s="305" t="str">
        <f t="shared" si="61"/>
        <v/>
      </c>
      <c r="W159" s="314" t="str">
        <f t="shared" si="62"/>
        <v/>
      </c>
      <c r="X159" s="314" t="str">
        <f t="shared" si="63"/>
        <v/>
      </c>
      <c r="Y159" s="326" t="str">
        <f t="shared" si="49"/>
        <v/>
      </c>
    </row>
    <row r="160" spans="7:25" x14ac:dyDescent="0.25">
      <c r="G160" s="303">
        <f t="shared" si="46"/>
        <v>0</v>
      </c>
      <c r="H160" s="304">
        <f t="shared" si="50"/>
        <v>153</v>
      </c>
      <c r="I160" s="305" t="str">
        <f t="shared" si="52"/>
        <v/>
      </c>
      <c r="J160" s="305" t="str">
        <f t="shared" si="53"/>
        <v/>
      </c>
      <c r="K160" s="305" t="str">
        <f t="shared" si="54"/>
        <v/>
      </c>
      <c r="L160" s="305" t="str">
        <f t="shared" si="55"/>
        <v/>
      </c>
      <c r="M160" s="314" t="str">
        <f t="shared" si="56"/>
        <v/>
      </c>
      <c r="N160" s="305" t="str">
        <f t="shared" si="57"/>
        <v/>
      </c>
      <c r="O160" s="327" t="e">
        <f t="shared" si="48"/>
        <v>#NUM!</v>
      </c>
      <c r="P160" s="305"/>
      <c r="Q160" s="303">
        <f t="shared" si="47"/>
        <v>0</v>
      </c>
      <c r="R160" s="304">
        <f t="shared" si="51"/>
        <v>-53</v>
      </c>
      <c r="S160" s="305" t="str">
        <f t="shared" si="58"/>
        <v/>
      </c>
      <c r="T160" s="305" t="str">
        <f t="shared" si="59"/>
        <v/>
      </c>
      <c r="U160" s="305" t="str">
        <f t="shared" si="60"/>
        <v/>
      </c>
      <c r="V160" s="305" t="str">
        <f t="shared" si="61"/>
        <v/>
      </c>
      <c r="W160" s="314" t="str">
        <f t="shared" si="62"/>
        <v/>
      </c>
      <c r="X160" s="314" t="str">
        <f t="shared" si="63"/>
        <v/>
      </c>
      <c r="Y160" s="326" t="str">
        <f t="shared" si="49"/>
        <v/>
      </c>
    </row>
    <row r="161" spans="7:25" x14ac:dyDescent="0.25">
      <c r="G161" s="303">
        <f t="shared" si="46"/>
        <v>0</v>
      </c>
      <c r="H161" s="304">
        <f t="shared" si="50"/>
        <v>154</v>
      </c>
      <c r="I161" s="305" t="str">
        <f t="shared" si="52"/>
        <v/>
      </c>
      <c r="J161" s="305" t="str">
        <f t="shared" si="53"/>
        <v/>
      </c>
      <c r="K161" s="305" t="str">
        <f t="shared" si="54"/>
        <v/>
      </c>
      <c r="L161" s="305" t="str">
        <f t="shared" si="55"/>
        <v/>
      </c>
      <c r="M161" s="314" t="str">
        <f t="shared" si="56"/>
        <v/>
      </c>
      <c r="N161" s="305" t="str">
        <f t="shared" si="57"/>
        <v/>
      </c>
      <c r="O161" s="327" t="e">
        <f t="shared" si="48"/>
        <v>#NUM!</v>
      </c>
      <c r="P161" s="305"/>
      <c r="Q161" s="303">
        <f t="shared" si="47"/>
        <v>0</v>
      </c>
      <c r="R161" s="304">
        <f t="shared" si="51"/>
        <v>-54</v>
      </c>
      <c r="S161" s="305" t="str">
        <f t="shared" si="58"/>
        <v/>
      </c>
      <c r="T161" s="305" t="str">
        <f t="shared" si="59"/>
        <v/>
      </c>
      <c r="U161" s="305" t="str">
        <f t="shared" si="60"/>
        <v/>
      </c>
      <c r="V161" s="305" t="str">
        <f t="shared" si="61"/>
        <v/>
      </c>
      <c r="W161" s="314" t="str">
        <f t="shared" si="62"/>
        <v/>
      </c>
      <c r="X161" s="314" t="str">
        <f t="shared" si="63"/>
        <v/>
      </c>
      <c r="Y161" s="326" t="str">
        <f t="shared" si="49"/>
        <v/>
      </c>
    </row>
    <row r="162" spans="7:25" x14ac:dyDescent="0.25">
      <c r="G162" s="303">
        <f t="shared" si="46"/>
        <v>0</v>
      </c>
      <c r="H162" s="304">
        <f t="shared" si="50"/>
        <v>155</v>
      </c>
      <c r="I162" s="305" t="str">
        <f t="shared" si="52"/>
        <v/>
      </c>
      <c r="J162" s="305" t="str">
        <f t="shared" si="53"/>
        <v/>
      </c>
      <c r="K162" s="305" t="str">
        <f t="shared" si="54"/>
        <v/>
      </c>
      <c r="L162" s="305" t="str">
        <f t="shared" si="55"/>
        <v/>
      </c>
      <c r="M162" s="314" t="str">
        <f t="shared" si="56"/>
        <v/>
      </c>
      <c r="N162" s="305" t="str">
        <f t="shared" si="57"/>
        <v/>
      </c>
      <c r="O162" s="327" t="e">
        <f t="shared" si="48"/>
        <v>#NUM!</v>
      </c>
      <c r="P162" s="305"/>
      <c r="Q162" s="303">
        <f t="shared" si="47"/>
        <v>0</v>
      </c>
      <c r="R162" s="304">
        <f t="shared" si="51"/>
        <v>-55</v>
      </c>
      <c r="S162" s="305" t="str">
        <f t="shared" si="58"/>
        <v/>
      </c>
      <c r="T162" s="305" t="str">
        <f t="shared" si="59"/>
        <v/>
      </c>
      <c r="U162" s="305" t="str">
        <f t="shared" si="60"/>
        <v/>
      </c>
      <c r="V162" s="305" t="str">
        <f t="shared" si="61"/>
        <v/>
      </c>
      <c r="W162" s="314" t="str">
        <f t="shared" si="62"/>
        <v/>
      </c>
      <c r="X162" s="314" t="str">
        <f t="shared" si="63"/>
        <v/>
      </c>
      <c r="Y162" s="326" t="str">
        <f t="shared" si="49"/>
        <v/>
      </c>
    </row>
    <row r="163" spans="7:25" x14ac:dyDescent="0.25">
      <c r="G163" s="303">
        <f t="shared" si="46"/>
        <v>0</v>
      </c>
      <c r="H163" s="304">
        <f t="shared" si="50"/>
        <v>156</v>
      </c>
      <c r="I163" s="305" t="str">
        <f t="shared" si="52"/>
        <v/>
      </c>
      <c r="J163" s="305" t="str">
        <f t="shared" si="53"/>
        <v/>
      </c>
      <c r="K163" s="305" t="str">
        <f t="shared" si="54"/>
        <v/>
      </c>
      <c r="L163" s="305" t="str">
        <f t="shared" si="55"/>
        <v/>
      </c>
      <c r="M163" s="314" t="str">
        <f t="shared" si="56"/>
        <v/>
      </c>
      <c r="N163" s="305" t="str">
        <f t="shared" si="57"/>
        <v/>
      </c>
      <c r="O163" s="327" t="e">
        <f t="shared" si="48"/>
        <v>#NUM!</v>
      </c>
      <c r="P163" s="305"/>
      <c r="Q163" s="303">
        <f t="shared" si="47"/>
        <v>0</v>
      </c>
      <c r="R163" s="304">
        <f t="shared" si="51"/>
        <v>-56</v>
      </c>
      <c r="S163" s="305" t="str">
        <f t="shared" si="58"/>
        <v/>
      </c>
      <c r="T163" s="305" t="str">
        <f t="shared" si="59"/>
        <v/>
      </c>
      <c r="U163" s="305" t="str">
        <f t="shared" si="60"/>
        <v/>
      </c>
      <c r="V163" s="305" t="str">
        <f t="shared" si="61"/>
        <v/>
      </c>
      <c r="W163" s="314" t="str">
        <f t="shared" si="62"/>
        <v/>
      </c>
      <c r="X163" s="314" t="str">
        <f t="shared" si="63"/>
        <v/>
      </c>
      <c r="Y163" s="326" t="str">
        <f t="shared" si="49"/>
        <v/>
      </c>
    </row>
    <row r="164" spans="7:25" x14ac:dyDescent="0.25">
      <c r="G164" s="303">
        <f t="shared" si="46"/>
        <v>0</v>
      </c>
      <c r="H164" s="304">
        <f t="shared" si="50"/>
        <v>157</v>
      </c>
      <c r="I164" s="305" t="str">
        <f t="shared" si="52"/>
        <v/>
      </c>
      <c r="J164" s="305" t="str">
        <f t="shared" si="53"/>
        <v/>
      </c>
      <c r="K164" s="305" t="str">
        <f t="shared" si="54"/>
        <v/>
      </c>
      <c r="L164" s="305" t="str">
        <f t="shared" si="55"/>
        <v/>
      </c>
      <c r="M164" s="314" t="str">
        <f t="shared" si="56"/>
        <v/>
      </c>
      <c r="N164" s="305" t="str">
        <f t="shared" si="57"/>
        <v/>
      </c>
      <c r="O164" s="327" t="e">
        <f t="shared" si="48"/>
        <v>#NUM!</v>
      </c>
      <c r="P164" s="305"/>
      <c r="Q164" s="303">
        <f t="shared" si="47"/>
        <v>0</v>
      </c>
      <c r="R164" s="304">
        <f t="shared" si="51"/>
        <v>-57</v>
      </c>
      <c r="S164" s="305" t="str">
        <f t="shared" si="58"/>
        <v/>
      </c>
      <c r="T164" s="305" t="str">
        <f t="shared" si="59"/>
        <v/>
      </c>
      <c r="U164" s="305" t="str">
        <f t="shared" si="60"/>
        <v/>
      </c>
      <c r="V164" s="305" t="str">
        <f t="shared" si="61"/>
        <v/>
      </c>
      <c r="W164" s="314" t="str">
        <f t="shared" si="62"/>
        <v/>
      </c>
      <c r="X164" s="314" t="str">
        <f t="shared" si="63"/>
        <v/>
      </c>
      <c r="Y164" s="326" t="str">
        <f t="shared" si="49"/>
        <v/>
      </c>
    </row>
    <row r="165" spans="7:25" x14ac:dyDescent="0.25">
      <c r="G165" s="303">
        <f t="shared" si="46"/>
        <v>0</v>
      </c>
      <c r="H165" s="304">
        <f t="shared" si="50"/>
        <v>158</v>
      </c>
      <c r="I165" s="305" t="str">
        <f t="shared" si="52"/>
        <v/>
      </c>
      <c r="J165" s="305" t="str">
        <f t="shared" si="53"/>
        <v/>
      </c>
      <c r="K165" s="305" t="str">
        <f t="shared" si="54"/>
        <v/>
      </c>
      <c r="L165" s="305" t="str">
        <f t="shared" si="55"/>
        <v/>
      </c>
      <c r="M165" s="314" t="str">
        <f t="shared" si="56"/>
        <v/>
      </c>
      <c r="N165" s="305" t="str">
        <f t="shared" si="57"/>
        <v/>
      </c>
      <c r="O165" s="327" t="e">
        <f t="shared" si="48"/>
        <v>#NUM!</v>
      </c>
      <c r="P165" s="305"/>
      <c r="Q165" s="303">
        <f t="shared" si="47"/>
        <v>0</v>
      </c>
      <c r="R165" s="304">
        <f t="shared" si="51"/>
        <v>-58</v>
      </c>
      <c r="S165" s="305" t="str">
        <f t="shared" si="58"/>
        <v/>
      </c>
      <c r="T165" s="305" t="str">
        <f t="shared" si="59"/>
        <v/>
      </c>
      <c r="U165" s="305" t="str">
        <f t="shared" si="60"/>
        <v/>
      </c>
      <c r="V165" s="305" t="str">
        <f t="shared" si="61"/>
        <v/>
      </c>
      <c r="W165" s="314" t="str">
        <f t="shared" si="62"/>
        <v/>
      </c>
      <c r="X165" s="314" t="str">
        <f t="shared" si="63"/>
        <v/>
      </c>
      <c r="Y165" s="326" t="str">
        <f t="shared" si="49"/>
        <v/>
      </c>
    </row>
    <row r="166" spans="7:25" x14ac:dyDescent="0.25">
      <c r="G166" s="303">
        <f t="shared" si="46"/>
        <v>0</v>
      </c>
      <c r="H166" s="304">
        <f t="shared" si="50"/>
        <v>159</v>
      </c>
      <c r="I166" s="305" t="str">
        <f t="shared" si="52"/>
        <v/>
      </c>
      <c r="J166" s="305" t="str">
        <f t="shared" si="53"/>
        <v/>
      </c>
      <c r="K166" s="305" t="str">
        <f t="shared" si="54"/>
        <v/>
      </c>
      <c r="L166" s="305" t="str">
        <f t="shared" si="55"/>
        <v/>
      </c>
      <c r="M166" s="314" t="str">
        <f t="shared" si="56"/>
        <v/>
      </c>
      <c r="N166" s="305" t="str">
        <f t="shared" si="57"/>
        <v/>
      </c>
      <c r="O166" s="327" t="e">
        <f t="shared" si="48"/>
        <v>#NUM!</v>
      </c>
      <c r="P166" s="305"/>
      <c r="Q166" s="303">
        <f t="shared" si="47"/>
        <v>0</v>
      </c>
      <c r="R166" s="304">
        <f t="shared" si="51"/>
        <v>-59</v>
      </c>
      <c r="S166" s="305" t="str">
        <f t="shared" si="58"/>
        <v/>
      </c>
      <c r="T166" s="305" t="str">
        <f t="shared" si="59"/>
        <v/>
      </c>
      <c r="U166" s="305" t="str">
        <f t="shared" si="60"/>
        <v/>
      </c>
      <c r="V166" s="305" t="str">
        <f t="shared" si="61"/>
        <v/>
      </c>
      <c r="W166" s="314" t="str">
        <f t="shared" si="62"/>
        <v/>
      </c>
      <c r="X166" s="314" t="str">
        <f t="shared" si="63"/>
        <v/>
      </c>
      <c r="Y166" s="326" t="str">
        <f t="shared" si="49"/>
        <v/>
      </c>
    </row>
    <row r="167" spans="7:25" x14ac:dyDescent="0.25">
      <c r="G167" s="303">
        <f t="shared" si="46"/>
        <v>0</v>
      </c>
      <c r="H167" s="304">
        <f t="shared" si="50"/>
        <v>160</v>
      </c>
      <c r="I167" s="305" t="str">
        <f t="shared" si="52"/>
        <v/>
      </c>
      <c r="J167" s="305" t="str">
        <f t="shared" si="53"/>
        <v/>
      </c>
      <c r="K167" s="305" t="str">
        <f t="shared" si="54"/>
        <v/>
      </c>
      <c r="L167" s="305" t="str">
        <f t="shared" si="55"/>
        <v/>
      </c>
      <c r="M167" s="314" t="str">
        <f t="shared" si="56"/>
        <v/>
      </c>
      <c r="N167" s="305" t="str">
        <f t="shared" si="57"/>
        <v/>
      </c>
      <c r="O167" s="327" t="e">
        <f t="shared" si="48"/>
        <v>#NUM!</v>
      </c>
      <c r="P167" s="305"/>
      <c r="Q167" s="303">
        <f t="shared" si="47"/>
        <v>0</v>
      </c>
      <c r="R167" s="304">
        <f t="shared" si="51"/>
        <v>-60</v>
      </c>
      <c r="S167" s="305" t="str">
        <f t="shared" si="58"/>
        <v/>
      </c>
      <c r="T167" s="305" t="str">
        <f t="shared" si="59"/>
        <v/>
      </c>
      <c r="U167" s="305" t="str">
        <f t="shared" si="60"/>
        <v/>
      </c>
      <c r="V167" s="305" t="str">
        <f t="shared" si="61"/>
        <v/>
      </c>
      <c r="W167" s="314" t="str">
        <f t="shared" si="62"/>
        <v/>
      </c>
      <c r="X167" s="314" t="str">
        <f t="shared" si="63"/>
        <v/>
      </c>
      <c r="Y167" s="326" t="str">
        <f t="shared" si="49"/>
        <v/>
      </c>
    </row>
    <row r="168" spans="7:25" x14ac:dyDescent="0.25">
      <c r="G168" s="303">
        <f t="shared" si="46"/>
        <v>0</v>
      </c>
      <c r="H168" s="304">
        <f t="shared" si="50"/>
        <v>161</v>
      </c>
      <c r="I168" s="305" t="str">
        <f t="shared" si="52"/>
        <v/>
      </c>
      <c r="J168" s="305" t="str">
        <f t="shared" si="53"/>
        <v/>
      </c>
      <c r="K168" s="305" t="str">
        <f t="shared" si="54"/>
        <v/>
      </c>
      <c r="L168" s="305" t="str">
        <f t="shared" si="55"/>
        <v/>
      </c>
      <c r="M168" s="314" t="str">
        <f t="shared" si="56"/>
        <v/>
      </c>
      <c r="N168" s="305" t="str">
        <f t="shared" si="57"/>
        <v/>
      </c>
      <c r="O168" s="327" t="e">
        <f t="shared" si="48"/>
        <v>#NUM!</v>
      </c>
      <c r="P168" s="305"/>
      <c r="Q168" s="303">
        <f t="shared" si="47"/>
        <v>0</v>
      </c>
      <c r="R168" s="304">
        <f t="shared" si="51"/>
        <v>-61</v>
      </c>
      <c r="S168" s="305" t="str">
        <f t="shared" si="58"/>
        <v/>
      </c>
      <c r="T168" s="305" t="str">
        <f t="shared" si="59"/>
        <v/>
      </c>
      <c r="U168" s="305" t="str">
        <f t="shared" si="60"/>
        <v/>
      </c>
      <c r="V168" s="305" t="str">
        <f t="shared" si="61"/>
        <v/>
      </c>
      <c r="W168" s="314" t="str">
        <f t="shared" si="62"/>
        <v/>
      </c>
      <c r="X168" s="314" t="str">
        <f t="shared" si="63"/>
        <v/>
      </c>
      <c r="Y168" s="326" t="str">
        <f t="shared" si="49"/>
        <v/>
      </c>
    </row>
    <row r="169" spans="7:25" x14ac:dyDescent="0.25">
      <c r="G169" s="303">
        <f t="shared" si="46"/>
        <v>0</v>
      </c>
      <c r="H169" s="304">
        <f t="shared" si="50"/>
        <v>162</v>
      </c>
      <c r="I169" s="305" t="str">
        <f t="shared" si="52"/>
        <v/>
      </c>
      <c r="J169" s="305" t="str">
        <f t="shared" si="53"/>
        <v/>
      </c>
      <c r="K169" s="305" t="str">
        <f t="shared" si="54"/>
        <v/>
      </c>
      <c r="L169" s="305" t="str">
        <f t="shared" si="55"/>
        <v/>
      </c>
      <c r="M169" s="314" t="str">
        <f t="shared" si="56"/>
        <v/>
      </c>
      <c r="N169" s="305" t="str">
        <f t="shared" si="57"/>
        <v/>
      </c>
      <c r="O169" s="327" t="e">
        <f t="shared" si="48"/>
        <v>#NUM!</v>
      </c>
      <c r="P169" s="305"/>
      <c r="Q169" s="303">
        <f t="shared" si="47"/>
        <v>0</v>
      </c>
      <c r="R169" s="304">
        <f t="shared" si="51"/>
        <v>-62</v>
      </c>
      <c r="S169" s="305" t="str">
        <f t="shared" si="58"/>
        <v/>
      </c>
      <c r="T169" s="305" t="str">
        <f t="shared" si="59"/>
        <v/>
      </c>
      <c r="U169" s="305" t="str">
        <f t="shared" si="60"/>
        <v/>
      </c>
      <c r="V169" s="305" t="str">
        <f t="shared" si="61"/>
        <v/>
      </c>
      <c r="W169" s="314" t="str">
        <f t="shared" si="62"/>
        <v/>
      </c>
      <c r="X169" s="314" t="str">
        <f t="shared" si="63"/>
        <v/>
      </c>
      <c r="Y169" s="326" t="str">
        <f t="shared" si="49"/>
        <v/>
      </c>
    </row>
    <row r="170" spans="7:25" x14ac:dyDescent="0.25">
      <c r="G170" s="303">
        <f t="shared" si="46"/>
        <v>0</v>
      </c>
      <c r="H170" s="304">
        <f t="shared" si="50"/>
        <v>163</v>
      </c>
      <c r="I170" s="305" t="str">
        <f t="shared" si="52"/>
        <v/>
      </c>
      <c r="J170" s="305" t="str">
        <f t="shared" si="53"/>
        <v/>
      </c>
      <c r="K170" s="305" t="str">
        <f t="shared" si="54"/>
        <v/>
      </c>
      <c r="L170" s="305" t="str">
        <f t="shared" si="55"/>
        <v/>
      </c>
      <c r="M170" s="314" t="str">
        <f t="shared" si="56"/>
        <v/>
      </c>
      <c r="N170" s="305" t="str">
        <f t="shared" si="57"/>
        <v/>
      </c>
      <c r="O170" s="327" t="e">
        <f t="shared" si="48"/>
        <v>#NUM!</v>
      </c>
      <c r="P170" s="305"/>
      <c r="Q170" s="303">
        <f t="shared" si="47"/>
        <v>0</v>
      </c>
      <c r="R170" s="304">
        <f t="shared" si="51"/>
        <v>-63</v>
      </c>
      <c r="S170" s="305" t="str">
        <f t="shared" si="58"/>
        <v/>
      </c>
      <c r="T170" s="305" t="str">
        <f t="shared" si="59"/>
        <v/>
      </c>
      <c r="U170" s="305" t="str">
        <f t="shared" si="60"/>
        <v/>
      </c>
      <c r="V170" s="305" t="str">
        <f t="shared" si="61"/>
        <v/>
      </c>
      <c r="W170" s="314" t="str">
        <f t="shared" si="62"/>
        <v/>
      </c>
      <c r="X170" s="314" t="str">
        <f t="shared" si="63"/>
        <v/>
      </c>
      <c r="Y170" s="326" t="str">
        <f t="shared" si="49"/>
        <v/>
      </c>
    </row>
    <row r="171" spans="7:25" x14ac:dyDescent="0.25">
      <c r="G171" s="303">
        <f t="shared" si="46"/>
        <v>0</v>
      </c>
      <c r="H171" s="304">
        <f t="shared" si="50"/>
        <v>164</v>
      </c>
      <c r="I171" s="305" t="str">
        <f t="shared" si="52"/>
        <v/>
      </c>
      <c r="J171" s="305" t="str">
        <f t="shared" si="53"/>
        <v/>
      </c>
      <c r="K171" s="305" t="str">
        <f t="shared" si="54"/>
        <v/>
      </c>
      <c r="L171" s="305" t="str">
        <f t="shared" si="55"/>
        <v/>
      </c>
      <c r="M171" s="314" t="str">
        <f t="shared" si="56"/>
        <v/>
      </c>
      <c r="N171" s="305" t="str">
        <f t="shared" si="57"/>
        <v/>
      </c>
      <c r="O171" s="327" t="e">
        <f t="shared" si="48"/>
        <v>#NUM!</v>
      </c>
      <c r="P171" s="305"/>
      <c r="Q171" s="303">
        <f t="shared" si="47"/>
        <v>0</v>
      </c>
      <c r="R171" s="304">
        <f t="shared" si="51"/>
        <v>-64</v>
      </c>
      <c r="S171" s="305" t="str">
        <f t="shared" si="58"/>
        <v/>
      </c>
      <c r="T171" s="305" t="str">
        <f t="shared" si="59"/>
        <v/>
      </c>
      <c r="U171" s="305" t="str">
        <f t="shared" si="60"/>
        <v/>
      </c>
      <c r="V171" s="305" t="str">
        <f t="shared" si="61"/>
        <v/>
      </c>
      <c r="W171" s="314" t="str">
        <f t="shared" si="62"/>
        <v/>
      </c>
      <c r="X171" s="314" t="str">
        <f t="shared" si="63"/>
        <v/>
      </c>
      <c r="Y171" s="326" t="str">
        <f t="shared" si="49"/>
        <v/>
      </c>
    </row>
    <row r="172" spans="7:25" x14ac:dyDescent="0.25">
      <c r="G172" s="303">
        <f t="shared" si="46"/>
        <v>0</v>
      </c>
      <c r="H172" s="304">
        <f t="shared" si="50"/>
        <v>165</v>
      </c>
      <c r="I172" s="305" t="str">
        <f t="shared" si="52"/>
        <v/>
      </c>
      <c r="J172" s="305" t="str">
        <f t="shared" si="53"/>
        <v/>
      </c>
      <c r="K172" s="305" t="str">
        <f t="shared" si="54"/>
        <v/>
      </c>
      <c r="L172" s="305" t="str">
        <f t="shared" si="55"/>
        <v/>
      </c>
      <c r="M172" s="314" t="str">
        <f t="shared" si="56"/>
        <v/>
      </c>
      <c r="N172" s="305" t="str">
        <f t="shared" si="57"/>
        <v/>
      </c>
      <c r="O172" s="327" t="e">
        <f t="shared" si="48"/>
        <v>#NUM!</v>
      </c>
      <c r="P172" s="305"/>
      <c r="Q172" s="303">
        <f t="shared" si="47"/>
        <v>0</v>
      </c>
      <c r="R172" s="304">
        <f t="shared" si="51"/>
        <v>-65</v>
      </c>
      <c r="S172" s="305" t="str">
        <f t="shared" si="58"/>
        <v/>
      </c>
      <c r="T172" s="305" t="str">
        <f t="shared" si="59"/>
        <v/>
      </c>
      <c r="U172" s="305" t="str">
        <f t="shared" si="60"/>
        <v/>
      </c>
      <c r="V172" s="305" t="str">
        <f t="shared" si="61"/>
        <v/>
      </c>
      <c r="W172" s="314" t="str">
        <f t="shared" si="62"/>
        <v/>
      </c>
      <c r="X172" s="314" t="str">
        <f t="shared" si="63"/>
        <v/>
      </c>
      <c r="Y172" s="326" t="str">
        <f t="shared" si="49"/>
        <v/>
      </c>
    </row>
    <row r="173" spans="7:25" x14ac:dyDescent="0.25">
      <c r="G173" s="303">
        <f t="shared" si="46"/>
        <v>0</v>
      </c>
      <c r="H173" s="304">
        <f t="shared" si="50"/>
        <v>166</v>
      </c>
      <c r="I173" s="305" t="str">
        <f t="shared" si="52"/>
        <v/>
      </c>
      <c r="J173" s="305" t="str">
        <f t="shared" si="53"/>
        <v/>
      </c>
      <c r="K173" s="305" t="str">
        <f t="shared" si="54"/>
        <v/>
      </c>
      <c r="L173" s="305" t="str">
        <f t="shared" si="55"/>
        <v/>
      </c>
      <c r="M173" s="314" t="str">
        <f t="shared" si="56"/>
        <v/>
      </c>
      <c r="N173" s="305" t="str">
        <f t="shared" si="57"/>
        <v/>
      </c>
      <c r="O173" s="327" t="e">
        <f t="shared" si="48"/>
        <v>#NUM!</v>
      </c>
      <c r="P173" s="305"/>
      <c r="Q173" s="303">
        <f t="shared" si="47"/>
        <v>0</v>
      </c>
      <c r="R173" s="304">
        <f t="shared" si="51"/>
        <v>-66</v>
      </c>
      <c r="S173" s="305" t="str">
        <f t="shared" si="58"/>
        <v/>
      </c>
      <c r="T173" s="305" t="str">
        <f t="shared" si="59"/>
        <v/>
      </c>
      <c r="U173" s="305" t="str">
        <f t="shared" si="60"/>
        <v/>
      </c>
      <c r="V173" s="305" t="str">
        <f t="shared" si="61"/>
        <v/>
      </c>
      <c r="W173" s="314" t="str">
        <f t="shared" si="62"/>
        <v/>
      </c>
      <c r="X173" s="314" t="str">
        <f t="shared" si="63"/>
        <v/>
      </c>
      <c r="Y173" s="326" t="str">
        <f t="shared" si="49"/>
        <v/>
      </c>
    </row>
    <row r="174" spans="7:25" x14ac:dyDescent="0.25">
      <c r="G174" s="303">
        <f t="shared" si="46"/>
        <v>0</v>
      </c>
      <c r="H174" s="304">
        <f t="shared" si="50"/>
        <v>167</v>
      </c>
      <c r="I174" s="305" t="str">
        <f t="shared" si="52"/>
        <v/>
      </c>
      <c r="J174" s="305" t="str">
        <f t="shared" si="53"/>
        <v/>
      </c>
      <c r="K174" s="305" t="str">
        <f t="shared" si="54"/>
        <v/>
      </c>
      <c r="L174" s="305" t="str">
        <f t="shared" si="55"/>
        <v/>
      </c>
      <c r="M174" s="314" t="str">
        <f t="shared" si="56"/>
        <v/>
      </c>
      <c r="N174" s="305" t="str">
        <f t="shared" si="57"/>
        <v/>
      </c>
      <c r="O174" s="327" t="e">
        <f t="shared" si="48"/>
        <v>#NUM!</v>
      </c>
      <c r="P174" s="305"/>
      <c r="Q174" s="303">
        <f t="shared" si="47"/>
        <v>0</v>
      </c>
      <c r="R174" s="304">
        <f t="shared" si="51"/>
        <v>-67</v>
      </c>
      <c r="S174" s="305" t="str">
        <f t="shared" si="58"/>
        <v/>
      </c>
      <c r="T174" s="305" t="str">
        <f t="shared" si="59"/>
        <v/>
      </c>
      <c r="U174" s="305" t="str">
        <f t="shared" si="60"/>
        <v/>
      </c>
      <c r="V174" s="305" t="str">
        <f t="shared" si="61"/>
        <v/>
      </c>
      <c r="W174" s="314" t="str">
        <f t="shared" si="62"/>
        <v/>
      </c>
      <c r="X174" s="314" t="str">
        <f t="shared" si="63"/>
        <v/>
      </c>
      <c r="Y174" s="326" t="str">
        <f t="shared" si="49"/>
        <v/>
      </c>
    </row>
    <row r="175" spans="7:25" x14ac:dyDescent="0.25">
      <c r="G175" s="303">
        <f t="shared" si="46"/>
        <v>0</v>
      </c>
      <c r="H175" s="304">
        <f t="shared" si="50"/>
        <v>168</v>
      </c>
      <c r="I175" s="305" t="str">
        <f t="shared" si="52"/>
        <v/>
      </c>
      <c r="J175" s="305" t="str">
        <f t="shared" si="53"/>
        <v/>
      </c>
      <c r="K175" s="305" t="str">
        <f t="shared" si="54"/>
        <v/>
      </c>
      <c r="L175" s="305" t="str">
        <f t="shared" si="55"/>
        <v/>
      </c>
      <c r="M175" s="314" t="str">
        <f t="shared" si="56"/>
        <v/>
      </c>
      <c r="N175" s="305" t="str">
        <f t="shared" si="57"/>
        <v/>
      </c>
      <c r="O175" s="327" t="e">
        <f t="shared" si="48"/>
        <v>#NUM!</v>
      </c>
      <c r="P175" s="305"/>
      <c r="Q175" s="303">
        <f t="shared" si="47"/>
        <v>0</v>
      </c>
      <c r="R175" s="304">
        <f t="shared" si="51"/>
        <v>-68</v>
      </c>
      <c r="S175" s="305" t="str">
        <f t="shared" si="58"/>
        <v/>
      </c>
      <c r="T175" s="305" t="str">
        <f t="shared" si="59"/>
        <v/>
      </c>
      <c r="U175" s="305" t="str">
        <f t="shared" si="60"/>
        <v/>
      </c>
      <c r="V175" s="305" t="str">
        <f t="shared" si="61"/>
        <v/>
      </c>
      <c r="W175" s="314" t="str">
        <f t="shared" si="62"/>
        <v/>
      </c>
      <c r="X175" s="314" t="str">
        <f t="shared" si="63"/>
        <v/>
      </c>
      <c r="Y175" s="326" t="str">
        <f t="shared" si="49"/>
        <v/>
      </c>
    </row>
    <row r="176" spans="7:25" x14ac:dyDescent="0.25">
      <c r="G176" s="303">
        <f t="shared" si="46"/>
        <v>0</v>
      </c>
      <c r="H176" s="304">
        <f t="shared" si="50"/>
        <v>169</v>
      </c>
      <c r="I176" s="305" t="str">
        <f t="shared" si="52"/>
        <v/>
      </c>
      <c r="J176" s="305" t="str">
        <f t="shared" si="53"/>
        <v/>
      </c>
      <c r="K176" s="305" t="str">
        <f t="shared" si="54"/>
        <v/>
      </c>
      <c r="L176" s="305" t="str">
        <f t="shared" si="55"/>
        <v/>
      </c>
      <c r="M176" s="314" t="str">
        <f t="shared" si="56"/>
        <v/>
      </c>
      <c r="N176" s="305" t="str">
        <f t="shared" si="57"/>
        <v/>
      </c>
      <c r="O176" s="327" t="e">
        <f t="shared" si="48"/>
        <v>#NUM!</v>
      </c>
      <c r="P176" s="305"/>
      <c r="Q176" s="303">
        <f t="shared" si="47"/>
        <v>0</v>
      </c>
      <c r="R176" s="304">
        <f t="shared" si="51"/>
        <v>-69</v>
      </c>
      <c r="S176" s="305" t="str">
        <f t="shared" si="58"/>
        <v/>
      </c>
      <c r="T176" s="305" t="str">
        <f t="shared" si="59"/>
        <v/>
      </c>
      <c r="U176" s="305" t="str">
        <f t="shared" si="60"/>
        <v/>
      </c>
      <c r="V176" s="305" t="str">
        <f t="shared" si="61"/>
        <v/>
      </c>
      <c r="W176" s="314" t="str">
        <f t="shared" si="62"/>
        <v/>
      </c>
      <c r="X176" s="314" t="str">
        <f t="shared" si="63"/>
        <v/>
      </c>
      <c r="Y176" s="326" t="str">
        <f t="shared" si="49"/>
        <v/>
      </c>
    </row>
    <row r="177" spans="7:25" x14ac:dyDescent="0.25">
      <c r="G177" s="303">
        <f t="shared" si="46"/>
        <v>0</v>
      </c>
      <c r="H177" s="304">
        <f t="shared" si="50"/>
        <v>170</v>
      </c>
      <c r="I177" s="305" t="str">
        <f t="shared" si="52"/>
        <v/>
      </c>
      <c r="J177" s="305" t="str">
        <f t="shared" si="53"/>
        <v/>
      </c>
      <c r="K177" s="305" t="str">
        <f t="shared" si="54"/>
        <v/>
      </c>
      <c r="L177" s="305" t="str">
        <f t="shared" si="55"/>
        <v/>
      </c>
      <c r="M177" s="314" t="str">
        <f t="shared" si="56"/>
        <v/>
      </c>
      <c r="N177" s="305" t="str">
        <f t="shared" si="57"/>
        <v/>
      </c>
      <c r="O177" s="327" t="e">
        <f t="shared" si="48"/>
        <v>#NUM!</v>
      </c>
      <c r="P177" s="305"/>
      <c r="Q177" s="303">
        <f t="shared" si="47"/>
        <v>0</v>
      </c>
      <c r="R177" s="304">
        <f t="shared" si="51"/>
        <v>-70</v>
      </c>
      <c r="S177" s="305" t="str">
        <f t="shared" si="58"/>
        <v/>
      </c>
      <c r="T177" s="305" t="str">
        <f t="shared" si="59"/>
        <v/>
      </c>
      <c r="U177" s="305" t="str">
        <f t="shared" si="60"/>
        <v/>
      </c>
      <c r="V177" s="305" t="str">
        <f t="shared" si="61"/>
        <v/>
      </c>
      <c r="W177" s="314" t="str">
        <f t="shared" si="62"/>
        <v/>
      </c>
      <c r="X177" s="314" t="str">
        <f t="shared" si="63"/>
        <v/>
      </c>
      <c r="Y177" s="326" t="str">
        <f t="shared" si="49"/>
        <v/>
      </c>
    </row>
    <row r="178" spans="7:25" x14ac:dyDescent="0.25">
      <c r="G178" s="303">
        <f t="shared" si="46"/>
        <v>0</v>
      </c>
      <c r="H178" s="304">
        <f t="shared" si="50"/>
        <v>171</v>
      </c>
      <c r="I178" s="305" t="str">
        <f t="shared" si="52"/>
        <v/>
      </c>
      <c r="J178" s="305" t="str">
        <f t="shared" si="53"/>
        <v/>
      </c>
      <c r="K178" s="305" t="str">
        <f t="shared" si="54"/>
        <v/>
      </c>
      <c r="L178" s="305" t="str">
        <f t="shared" si="55"/>
        <v/>
      </c>
      <c r="M178" s="314" t="str">
        <f t="shared" si="56"/>
        <v/>
      </c>
      <c r="N178" s="305" t="str">
        <f t="shared" si="57"/>
        <v/>
      </c>
      <c r="O178" s="327" t="e">
        <f t="shared" si="48"/>
        <v>#NUM!</v>
      </c>
      <c r="P178" s="305"/>
      <c r="Q178" s="303">
        <f t="shared" si="47"/>
        <v>0</v>
      </c>
      <c r="R178" s="304">
        <f t="shared" si="51"/>
        <v>-71</v>
      </c>
      <c r="S178" s="305" t="str">
        <f t="shared" si="58"/>
        <v/>
      </c>
      <c r="T178" s="305" t="str">
        <f t="shared" si="59"/>
        <v/>
      </c>
      <c r="U178" s="305" t="str">
        <f t="shared" si="60"/>
        <v/>
      </c>
      <c r="V178" s="305" t="str">
        <f t="shared" si="61"/>
        <v/>
      </c>
      <c r="W178" s="314" t="str">
        <f t="shared" si="62"/>
        <v/>
      </c>
      <c r="X178" s="314" t="str">
        <f t="shared" si="63"/>
        <v/>
      </c>
      <c r="Y178" s="326" t="str">
        <f t="shared" si="49"/>
        <v/>
      </c>
    </row>
    <row r="179" spans="7:25" x14ac:dyDescent="0.25">
      <c r="G179" s="303">
        <f t="shared" si="46"/>
        <v>0</v>
      </c>
      <c r="H179" s="304">
        <f t="shared" si="50"/>
        <v>172</v>
      </c>
      <c r="I179" s="305" t="str">
        <f t="shared" si="52"/>
        <v/>
      </c>
      <c r="J179" s="305" t="str">
        <f t="shared" si="53"/>
        <v/>
      </c>
      <c r="K179" s="305" t="str">
        <f t="shared" si="54"/>
        <v/>
      </c>
      <c r="L179" s="305" t="str">
        <f t="shared" si="55"/>
        <v/>
      </c>
      <c r="M179" s="314" t="str">
        <f t="shared" si="56"/>
        <v/>
      </c>
      <c r="N179" s="305" t="str">
        <f t="shared" si="57"/>
        <v/>
      </c>
      <c r="O179" s="327" t="e">
        <f t="shared" si="48"/>
        <v>#NUM!</v>
      </c>
      <c r="P179" s="305"/>
      <c r="Q179" s="303">
        <f t="shared" si="47"/>
        <v>0</v>
      </c>
      <c r="R179" s="304">
        <f t="shared" si="51"/>
        <v>-72</v>
      </c>
      <c r="S179" s="305" t="str">
        <f t="shared" si="58"/>
        <v/>
      </c>
      <c r="T179" s="305" t="str">
        <f t="shared" si="59"/>
        <v/>
      </c>
      <c r="U179" s="305" t="str">
        <f t="shared" si="60"/>
        <v/>
      </c>
      <c r="V179" s="305" t="str">
        <f t="shared" si="61"/>
        <v/>
      </c>
      <c r="W179" s="314" t="str">
        <f t="shared" si="62"/>
        <v/>
      </c>
      <c r="X179" s="314" t="str">
        <f t="shared" si="63"/>
        <v/>
      </c>
      <c r="Y179" s="326" t="str">
        <f t="shared" si="49"/>
        <v/>
      </c>
    </row>
    <row r="180" spans="7:25" x14ac:dyDescent="0.25">
      <c r="G180" s="303">
        <f t="shared" si="46"/>
        <v>0</v>
      </c>
      <c r="H180" s="304">
        <f t="shared" si="50"/>
        <v>173</v>
      </c>
      <c r="I180" s="305" t="str">
        <f t="shared" si="52"/>
        <v/>
      </c>
      <c r="J180" s="305" t="str">
        <f t="shared" si="53"/>
        <v/>
      </c>
      <c r="K180" s="305" t="str">
        <f t="shared" si="54"/>
        <v/>
      </c>
      <c r="L180" s="305" t="str">
        <f t="shared" si="55"/>
        <v/>
      </c>
      <c r="M180" s="314" t="str">
        <f t="shared" si="56"/>
        <v/>
      </c>
      <c r="N180" s="305" t="str">
        <f t="shared" si="57"/>
        <v/>
      </c>
      <c r="O180" s="327" t="e">
        <f t="shared" si="48"/>
        <v>#NUM!</v>
      </c>
      <c r="P180" s="305"/>
      <c r="Q180" s="303">
        <f t="shared" si="47"/>
        <v>0</v>
      </c>
      <c r="R180" s="304">
        <f t="shared" si="51"/>
        <v>-73</v>
      </c>
      <c r="S180" s="305" t="str">
        <f t="shared" si="58"/>
        <v/>
      </c>
      <c r="T180" s="305" t="str">
        <f t="shared" si="59"/>
        <v/>
      </c>
      <c r="U180" s="305" t="str">
        <f t="shared" si="60"/>
        <v/>
      </c>
      <c r="V180" s="305" t="str">
        <f t="shared" si="61"/>
        <v/>
      </c>
      <c r="W180" s="314" t="str">
        <f t="shared" si="62"/>
        <v/>
      </c>
      <c r="X180" s="314" t="str">
        <f t="shared" si="63"/>
        <v/>
      </c>
      <c r="Y180" s="326" t="str">
        <f t="shared" si="49"/>
        <v/>
      </c>
    </row>
    <row r="181" spans="7:25" x14ac:dyDescent="0.25">
      <c r="G181" s="303">
        <f t="shared" si="46"/>
        <v>0</v>
      </c>
      <c r="H181" s="304">
        <f t="shared" si="50"/>
        <v>174</v>
      </c>
      <c r="I181" s="305" t="str">
        <f t="shared" si="52"/>
        <v/>
      </c>
      <c r="J181" s="305" t="str">
        <f t="shared" si="53"/>
        <v/>
      </c>
      <c r="K181" s="305" t="str">
        <f t="shared" si="54"/>
        <v/>
      </c>
      <c r="L181" s="305" t="str">
        <f t="shared" si="55"/>
        <v/>
      </c>
      <c r="M181" s="314" t="str">
        <f t="shared" si="56"/>
        <v/>
      </c>
      <c r="N181" s="305" t="str">
        <f t="shared" si="57"/>
        <v/>
      </c>
      <c r="O181" s="327" t="e">
        <f t="shared" si="48"/>
        <v>#NUM!</v>
      </c>
      <c r="P181" s="305"/>
      <c r="Q181" s="303">
        <f t="shared" si="47"/>
        <v>0</v>
      </c>
      <c r="R181" s="304">
        <f t="shared" si="51"/>
        <v>-74</v>
      </c>
      <c r="S181" s="305" t="str">
        <f t="shared" si="58"/>
        <v/>
      </c>
      <c r="T181" s="305" t="str">
        <f t="shared" si="59"/>
        <v/>
      </c>
      <c r="U181" s="305" t="str">
        <f t="shared" si="60"/>
        <v/>
      </c>
      <c r="V181" s="305" t="str">
        <f t="shared" si="61"/>
        <v/>
      </c>
      <c r="W181" s="314" t="str">
        <f t="shared" si="62"/>
        <v/>
      </c>
      <c r="X181" s="314" t="str">
        <f t="shared" si="63"/>
        <v/>
      </c>
      <c r="Y181" s="326" t="str">
        <f t="shared" si="49"/>
        <v/>
      </c>
    </row>
    <row r="182" spans="7:25" x14ac:dyDescent="0.25">
      <c r="G182" s="303">
        <f t="shared" si="46"/>
        <v>0</v>
      </c>
      <c r="H182" s="304">
        <f t="shared" si="50"/>
        <v>175</v>
      </c>
      <c r="I182" s="305" t="str">
        <f t="shared" si="52"/>
        <v/>
      </c>
      <c r="J182" s="305" t="str">
        <f t="shared" si="53"/>
        <v/>
      </c>
      <c r="K182" s="305" t="str">
        <f t="shared" si="54"/>
        <v/>
      </c>
      <c r="L182" s="305" t="str">
        <f t="shared" si="55"/>
        <v/>
      </c>
      <c r="M182" s="314" t="str">
        <f t="shared" si="56"/>
        <v/>
      </c>
      <c r="N182" s="305" t="str">
        <f t="shared" si="57"/>
        <v/>
      </c>
      <c r="O182" s="327" t="e">
        <f t="shared" si="48"/>
        <v>#NUM!</v>
      </c>
      <c r="P182" s="305"/>
      <c r="Q182" s="303">
        <f t="shared" si="47"/>
        <v>0</v>
      </c>
      <c r="R182" s="304">
        <f t="shared" si="51"/>
        <v>-75</v>
      </c>
      <c r="S182" s="305" t="str">
        <f t="shared" si="58"/>
        <v/>
      </c>
      <c r="T182" s="305" t="str">
        <f t="shared" si="59"/>
        <v/>
      </c>
      <c r="U182" s="305" t="str">
        <f t="shared" si="60"/>
        <v/>
      </c>
      <c r="V182" s="305" t="str">
        <f t="shared" si="61"/>
        <v/>
      </c>
      <c r="W182" s="314" t="str">
        <f t="shared" si="62"/>
        <v/>
      </c>
      <c r="X182" s="314" t="str">
        <f t="shared" si="63"/>
        <v/>
      </c>
      <c r="Y182" s="326" t="str">
        <f t="shared" si="49"/>
        <v/>
      </c>
    </row>
    <row r="183" spans="7:25" x14ac:dyDescent="0.25">
      <c r="G183" s="303">
        <f t="shared" si="46"/>
        <v>0</v>
      </c>
      <c r="H183" s="304">
        <f t="shared" si="50"/>
        <v>176</v>
      </c>
      <c r="I183" s="305" t="str">
        <f t="shared" si="52"/>
        <v/>
      </c>
      <c r="J183" s="305" t="str">
        <f t="shared" si="53"/>
        <v/>
      </c>
      <c r="K183" s="305" t="str">
        <f t="shared" si="54"/>
        <v/>
      </c>
      <c r="L183" s="305" t="str">
        <f t="shared" si="55"/>
        <v/>
      </c>
      <c r="M183" s="314" t="str">
        <f t="shared" si="56"/>
        <v/>
      </c>
      <c r="N183" s="305" t="str">
        <f t="shared" si="57"/>
        <v/>
      </c>
      <c r="O183" s="327" t="e">
        <f t="shared" si="48"/>
        <v>#NUM!</v>
      </c>
      <c r="P183" s="305"/>
      <c r="Q183" s="303">
        <f t="shared" si="47"/>
        <v>0</v>
      </c>
      <c r="R183" s="304">
        <f t="shared" si="51"/>
        <v>-76</v>
      </c>
      <c r="S183" s="305" t="str">
        <f t="shared" si="58"/>
        <v/>
      </c>
      <c r="T183" s="305" t="str">
        <f t="shared" si="59"/>
        <v/>
      </c>
      <c r="U183" s="305" t="str">
        <f t="shared" si="60"/>
        <v/>
      </c>
      <c r="V183" s="305" t="str">
        <f t="shared" si="61"/>
        <v/>
      </c>
      <c r="W183" s="314" t="str">
        <f t="shared" si="62"/>
        <v/>
      </c>
      <c r="X183" s="314" t="str">
        <f t="shared" si="63"/>
        <v/>
      </c>
      <c r="Y183" s="326" t="str">
        <f t="shared" si="49"/>
        <v/>
      </c>
    </row>
    <row r="184" spans="7:25" x14ac:dyDescent="0.25">
      <c r="G184" s="303">
        <f t="shared" si="46"/>
        <v>0</v>
      </c>
      <c r="H184" s="304">
        <f t="shared" si="50"/>
        <v>177</v>
      </c>
      <c r="I184" s="305" t="str">
        <f t="shared" si="52"/>
        <v/>
      </c>
      <c r="J184" s="305" t="str">
        <f t="shared" si="53"/>
        <v/>
      </c>
      <c r="K184" s="305" t="str">
        <f t="shared" si="54"/>
        <v/>
      </c>
      <c r="L184" s="305" t="str">
        <f t="shared" si="55"/>
        <v/>
      </c>
      <c r="M184" s="314" t="str">
        <f t="shared" si="56"/>
        <v/>
      </c>
      <c r="N184" s="305" t="str">
        <f t="shared" si="57"/>
        <v/>
      </c>
      <c r="O184" s="327" t="e">
        <f t="shared" si="48"/>
        <v>#NUM!</v>
      </c>
      <c r="P184" s="305"/>
      <c r="Q184" s="303">
        <f t="shared" si="47"/>
        <v>0</v>
      </c>
      <c r="R184" s="304">
        <f t="shared" si="51"/>
        <v>-77</v>
      </c>
      <c r="S184" s="305" t="str">
        <f t="shared" si="58"/>
        <v/>
      </c>
      <c r="T184" s="305" t="str">
        <f t="shared" si="59"/>
        <v/>
      </c>
      <c r="U184" s="305" t="str">
        <f t="shared" si="60"/>
        <v/>
      </c>
      <c r="V184" s="305" t="str">
        <f t="shared" si="61"/>
        <v/>
      </c>
      <c r="W184" s="314" t="str">
        <f t="shared" si="62"/>
        <v/>
      </c>
      <c r="X184" s="314" t="str">
        <f t="shared" si="63"/>
        <v/>
      </c>
      <c r="Y184" s="326" t="str">
        <f t="shared" si="49"/>
        <v/>
      </c>
    </row>
    <row r="185" spans="7:25" x14ac:dyDescent="0.25">
      <c r="G185" s="303">
        <f t="shared" si="46"/>
        <v>0</v>
      </c>
      <c r="H185" s="304">
        <f t="shared" si="50"/>
        <v>178</v>
      </c>
      <c r="I185" s="305" t="str">
        <f t="shared" si="52"/>
        <v/>
      </c>
      <c r="J185" s="305" t="str">
        <f t="shared" si="53"/>
        <v/>
      </c>
      <c r="K185" s="305" t="str">
        <f t="shared" si="54"/>
        <v/>
      </c>
      <c r="L185" s="305" t="str">
        <f t="shared" si="55"/>
        <v/>
      </c>
      <c r="M185" s="314" t="str">
        <f t="shared" si="56"/>
        <v/>
      </c>
      <c r="N185" s="305" t="str">
        <f t="shared" si="57"/>
        <v/>
      </c>
      <c r="O185" s="327" t="e">
        <f t="shared" si="48"/>
        <v>#NUM!</v>
      </c>
      <c r="P185" s="305"/>
      <c r="Q185" s="303">
        <f t="shared" si="47"/>
        <v>0</v>
      </c>
      <c r="R185" s="304">
        <f t="shared" si="51"/>
        <v>-78</v>
      </c>
      <c r="S185" s="305" t="str">
        <f t="shared" si="58"/>
        <v/>
      </c>
      <c r="T185" s="305" t="str">
        <f t="shared" si="59"/>
        <v/>
      </c>
      <c r="U185" s="305" t="str">
        <f t="shared" si="60"/>
        <v/>
      </c>
      <c r="V185" s="305" t="str">
        <f t="shared" si="61"/>
        <v/>
      </c>
      <c r="W185" s="314" t="str">
        <f t="shared" si="62"/>
        <v/>
      </c>
      <c r="X185" s="314" t="str">
        <f t="shared" si="63"/>
        <v/>
      </c>
      <c r="Y185" s="326" t="str">
        <f t="shared" si="49"/>
        <v/>
      </c>
    </row>
    <row r="186" spans="7:25" x14ac:dyDescent="0.25">
      <c r="G186" s="303">
        <f t="shared" si="46"/>
        <v>0</v>
      </c>
      <c r="H186" s="304">
        <f t="shared" si="50"/>
        <v>179</v>
      </c>
      <c r="I186" s="305" t="str">
        <f t="shared" si="52"/>
        <v/>
      </c>
      <c r="J186" s="305" t="str">
        <f t="shared" si="53"/>
        <v/>
      </c>
      <c r="K186" s="305" t="str">
        <f t="shared" si="54"/>
        <v/>
      </c>
      <c r="L186" s="305" t="str">
        <f t="shared" si="55"/>
        <v/>
      </c>
      <c r="M186" s="314" t="str">
        <f t="shared" si="56"/>
        <v/>
      </c>
      <c r="N186" s="305" t="str">
        <f t="shared" si="57"/>
        <v/>
      </c>
      <c r="O186" s="327" t="e">
        <f t="shared" si="48"/>
        <v>#NUM!</v>
      </c>
      <c r="P186" s="305"/>
      <c r="Q186" s="303">
        <f t="shared" si="47"/>
        <v>0</v>
      </c>
      <c r="R186" s="304">
        <f t="shared" si="51"/>
        <v>-79</v>
      </c>
      <c r="S186" s="305" t="str">
        <f t="shared" si="58"/>
        <v/>
      </c>
      <c r="T186" s="305" t="str">
        <f t="shared" si="59"/>
        <v/>
      </c>
      <c r="U186" s="305" t="str">
        <f t="shared" si="60"/>
        <v/>
      </c>
      <c r="V186" s="305" t="str">
        <f t="shared" si="61"/>
        <v/>
      </c>
      <c r="W186" s="314" t="str">
        <f t="shared" si="62"/>
        <v/>
      </c>
      <c r="X186" s="314" t="str">
        <f t="shared" si="63"/>
        <v/>
      </c>
      <c r="Y186" s="326" t="str">
        <f t="shared" si="49"/>
        <v/>
      </c>
    </row>
    <row r="187" spans="7:25" x14ac:dyDescent="0.25">
      <c r="G187" s="303">
        <f t="shared" si="46"/>
        <v>0</v>
      </c>
      <c r="H187" s="304">
        <f t="shared" si="50"/>
        <v>180</v>
      </c>
      <c r="I187" s="305" t="str">
        <f t="shared" si="52"/>
        <v/>
      </c>
      <c r="J187" s="305" t="str">
        <f t="shared" si="53"/>
        <v/>
      </c>
      <c r="K187" s="305" t="str">
        <f t="shared" si="54"/>
        <v/>
      </c>
      <c r="L187" s="305" t="str">
        <f t="shared" si="55"/>
        <v/>
      </c>
      <c r="M187" s="314" t="str">
        <f t="shared" si="56"/>
        <v/>
      </c>
      <c r="N187" s="305" t="str">
        <f t="shared" si="57"/>
        <v/>
      </c>
      <c r="O187" s="327" t="e">
        <f t="shared" si="48"/>
        <v>#NUM!</v>
      </c>
      <c r="P187" s="305"/>
      <c r="Q187" s="303">
        <f t="shared" si="47"/>
        <v>0</v>
      </c>
      <c r="R187" s="304">
        <f t="shared" si="51"/>
        <v>-80</v>
      </c>
      <c r="S187" s="305" t="str">
        <f t="shared" si="58"/>
        <v/>
      </c>
      <c r="T187" s="305" t="str">
        <f t="shared" si="59"/>
        <v/>
      </c>
      <c r="U187" s="305" t="str">
        <f t="shared" si="60"/>
        <v/>
      </c>
      <c r="V187" s="305" t="str">
        <f t="shared" si="61"/>
        <v/>
      </c>
      <c r="W187" s="314" t="str">
        <f t="shared" si="62"/>
        <v/>
      </c>
      <c r="X187" s="314" t="str">
        <f t="shared" si="63"/>
        <v/>
      </c>
      <c r="Y187" s="326" t="str">
        <f t="shared" si="49"/>
        <v/>
      </c>
    </row>
    <row r="188" spans="7:25" x14ac:dyDescent="0.25">
      <c r="G188" s="303">
        <f t="shared" si="46"/>
        <v>0</v>
      </c>
      <c r="H188" s="304">
        <f t="shared" si="50"/>
        <v>181</v>
      </c>
      <c r="I188" s="305" t="str">
        <f t="shared" si="52"/>
        <v/>
      </c>
      <c r="J188" s="305" t="str">
        <f t="shared" si="53"/>
        <v/>
      </c>
      <c r="K188" s="305" t="str">
        <f t="shared" si="54"/>
        <v/>
      </c>
      <c r="L188" s="305" t="str">
        <f t="shared" si="55"/>
        <v/>
      </c>
      <c r="M188" s="314" t="str">
        <f t="shared" si="56"/>
        <v/>
      </c>
      <c r="N188" s="305" t="str">
        <f t="shared" si="57"/>
        <v/>
      </c>
      <c r="O188" s="327" t="e">
        <f t="shared" si="48"/>
        <v>#NUM!</v>
      </c>
      <c r="P188" s="305"/>
      <c r="Q188" s="303">
        <f t="shared" si="47"/>
        <v>0</v>
      </c>
      <c r="R188" s="304">
        <f t="shared" si="51"/>
        <v>-81</v>
      </c>
      <c r="S188" s="305" t="str">
        <f t="shared" si="58"/>
        <v/>
      </c>
      <c r="T188" s="305" t="str">
        <f t="shared" si="59"/>
        <v/>
      </c>
      <c r="U188" s="305" t="str">
        <f t="shared" si="60"/>
        <v/>
      </c>
      <c r="V188" s="305" t="str">
        <f t="shared" si="61"/>
        <v/>
      </c>
      <c r="W188" s="314" t="str">
        <f t="shared" si="62"/>
        <v/>
      </c>
      <c r="X188" s="314" t="str">
        <f t="shared" si="63"/>
        <v/>
      </c>
      <c r="Y188" s="326" t="str">
        <f t="shared" si="49"/>
        <v/>
      </c>
    </row>
    <row r="189" spans="7:25" x14ac:dyDescent="0.25">
      <c r="G189" s="303">
        <f t="shared" si="46"/>
        <v>0</v>
      </c>
      <c r="H189" s="304">
        <f t="shared" si="50"/>
        <v>182</v>
      </c>
      <c r="I189" s="305" t="str">
        <f t="shared" si="52"/>
        <v/>
      </c>
      <c r="J189" s="305" t="str">
        <f t="shared" si="53"/>
        <v/>
      </c>
      <c r="K189" s="305" t="str">
        <f t="shared" si="54"/>
        <v/>
      </c>
      <c r="L189" s="305" t="str">
        <f t="shared" si="55"/>
        <v/>
      </c>
      <c r="M189" s="314" t="str">
        <f t="shared" si="56"/>
        <v/>
      </c>
      <c r="N189" s="305" t="str">
        <f t="shared" si="57"/>
        <v/>
      </c>
      <c r="O189" s="327" t="e">
        <f t="shared" si="48"/>
        <v>#NUM!</v>
      </c>
      <c r="P189" s="305"/>
      <c r="Q189" s="303">
        <f t="shared" si="47"/>
        <v>0</v>
      </c>
      <c r="R189" s="304">
        <f t="shared" si="51"/>
        <v>-82</v>
      </c>
      <c r="S189" s="305" t="str">
        <f t="shared" si="58"/>
        <v/>
      </c>
      <c r="T189" s="305" t="str">
        <f t="shared" si="59"/>
        <v/>
      </c>
      <c r="U189" s="305" t="str">
        <f t="shared" si="60"/>
        <v/>
      </c>
      <c r="V189" s="305" t="str">
        <f t="shared" si="61"/>
        <v/>
      </c>
      <c r="W189" s="314" t="str">
        <f t="shared" si="62"/>
        <v/>
      </c>
      <c r="X189" s="314" t="str">
        <f t="shared" si="63"/>
        <v/>
      </c>
      <c r="Y189" s="326" t="str">
        <f t="shared" si="49"/>
        <v/>
      </c>
    </row>
    <row r="190" spans="7:25" x14ac:dyDescent="0.25">
      <c r="G190" s="303">
        <f t="shared" si="46"/>
        <v>0</v>
      </c>
      <c r="H190" s="304">
        <f t="shared" si="50"/>
        <v>183</v>
      </c>
      <c r="I190" s="305" t="str">
        <f t="shared" si="52"/>
        <v/>
      </c>
      <c r="J190" s="305" t="str">
        <f t="shared" si="53"/>
        <v/>
      </c>
      <c r="K190" s="305" t="str">
        <f t="shared" si="54"/>
        <v/>
      </c>
      <c r="L190" s="305" t="str">
        <f t="shared" si="55"/>
        <v/>
      </c>
      <c r="M190" s="314" t="str">
        <f t="shared" si="56"/>
        <v/>
      </c>
      <c r="N190" s="305" t="str">
        <f t="shared" si="57"/>
        <v/>
      </c>
      <c r="O190" s="327" t="e">
        <f t="shared" si="48"/>
        <v>#NUM!</v>
      </c>
      <c r="P190" s="305"/>
      <c r="Q190" s="303">
        <f t="shared" si="47"/>
        <v>0</v>
      </c>
      <c r="R190" s="304">
        <f t="shared" si="51"/>
        <v>-83</v>
      </c>
      <c r="S190" s="305" t="str">
        <f t="shared" si="58"/>
        <v/>
      </c>
      <c r="T190" s="305" t="str">
        <f t="shared" si="59"/>
        <v/>
      </c>
      <c r="U190" s="305" t="str">
        <f t="shared" si="60"/>
        <v/>
      </c>
      <c r="V190" s="305" t="str">
        <f t="shared" si="61"/>
        <v/>
      </c>
      <c r="W190" s="314" t="str">
        <f t="shared" si="62"/>
        <v/>
      </c>
      <c r="X190" s="314" t="str">
        <f t="shared" si="63"/>
        <v/>
      </c>
      <c r="Y190" s="326" t="str">
        <f t="shared" si="49"/>
        <v/>
      </c>
    </row>
    <row r="191" spans="7:25" x14ac:dyDescent="0.25">
      <c r="G191" s="303">
        <f t="shared" si="46"/>
        <v>0</v>
      </c>
      <c r="H191" s="304">
        <f t="shared" si="50"/>
        <v>184</v>
      </c>
      <c r="I191" s="305" t="str">
        <f t="shared" si="52"/>
        <v/>
      </c>
      <c r="J191" s="305" t="str">
        <f t="shared" si="53"/>
        <v/>
      </c>
      <c r="K191" s="305" t="str">
        <f t="shared" si="54"/>
        <v/>
      </c>
      <c r="L191" s="305" t="str">
        <f t="shared" si="55"/>
        <v/>
      </c>
      <c r="M191" s="314" t="str">
        <f t="shared" si="56"/>
        <v/>
      </c>
      <c r="N191" s="305" t="str">
        <f t="shared" si="57"/>
        <v/>
      </c>
      <c r="O191" s="327" t="e">
        <f t="shared" si="48"/>
        <v>#NUM!</v>
      </c>
      <c r="P191" s="305"/>
      <c r="Q191" s="303">
        <f t="shared" si="47"/>
        <v>0</v>
      </c>
      <c r="R191" s="304">
        <f t="shared" si="51"/>
        <v>-84</v>
      </c>
      <c r="S191" s="305" t="str">
        <f t="shared" si="58"/>
        <v/>
      </c>
      <c r="T191" s="305" t="str">
        <f t="shared" si="59"/>
        <v/>
      </c>
      <c r="U191" s="305" t="str">
        <f t="shared" si="60"/>
        <v/>
      </c>
      <c r="V191" s="305" t="str">
        <f t="shared" si="61"/>
        <v/>
      </c>
      <c r="W191" s="314" t="str">
        <f t="shared" si="62"/>
        <v/>
      </c>
      <c r="X191" s="314" t="str">
        <f t="shared" si="63"/>
        <v/>
      </c>
      <c r="Y191" s="326" t="str">
        <f t="shared" si="49"/>
        <v/>
      </c>
    </row>
    <row r="192" spans="7:25" x14ac:dyDescent="0.25">
      <c r="G192" s="303">
        <f t="shared" si="46"/>
        <v>0</v>
      </c>
      <c r="H192" s="304">
        <f t="shared" si="50"/>
        <v>185</v>
      </c>
      <c r="I192" s="305" t="str">
        <f t="shared" si="52"/>
        <v/>
      </c>
      <c r="J192" s="305" t="str">
        <f t="shared" si="53"/>
        <v/>
      </c>
      <c r="K192" s="305" t="str">
        <f t="shared" si="54"/>
        <v/>
      </c>
      <c r="L192" s="305" t="str">
        <f t="shared" si="55"/>
        <v/>
      </c>
      <c r="M192" s="314" t="str">
        <f t="shared" si="56"/>
        <v/>
      </c>
      <c r="N192" s="305" t="str">
        <f t="shared" si="57"/>
        <v/>
      </c>
      <c r="O192" s="327" t="e">
        <f t="shared" si="48"/>
        <v>#NUM!</v>
      </c>
      <c r="P192" s="305"/>
      <c r="Q192" s="303">
        <f t="shared" si="47"/>
        <v>0</v>
      </c>
      <c r="R192" s="304">
        <f t="shared" si="51"/>
        <v>-85</v>
      </c>
      <c r="S192" s="305" t="str">
        <f t="shared" si="58"/>
        <v/>
      </c>
      <c r="T192" s="305" t="str">
        <f t="shared" si="59"/>
        <v/>
      </c>
      <c r="U192" s="305" t="str">
        <f t="shared" si="60"/>
        <v/>
      </c>
      <c r="V192" s="305" t="str">
        <f t="shared" si="61"/>
        <v/>
      </c>
      <c r="W192" s="314" t="str">
        <f t="shared" si="62"/>
        <v/>
      </c>
      <c r="X192" s="314" t="str">
        <f t="shared" si="63"/>
        <v/>
      </c>
      <c r="Y192" s="326" t="str">
        <f t="shared" si="49"/>
        <v/>
      </c>
    </row>
    <row r="193" spans="7:25" x14ac:dyDescent="0.25">
      <c r="G193" s="303">
        <f t="shared" si="46"/>
        <v>0</v>
      </c>
      <c r="H193" s="304">
        <f t="shared" si="50"/>
        <v>186</v>
      </c>
      <c r="I193" s="305" t="str">
        <f t="shared" si="52"/>
        <v/>
      </c>
      <c r="J193" s="305" t="str">
        <f t="shared" si="53"/>
        <v/>
      </c>
      <c r="K193" s="305" t="str">
        <f t="shared" si="54"/>
        <v/>
      </c>
      <c r="L193" s="305" t="str">
        <f t="shared" si="55"/>
        <v/>
      </c>
      <c r="M193" s="314" t="str">
        <f t="shared" si="56"/>
        <v/>
      </c>
      <c r="N193" s="305" t="str">
        <f t="shared" si="57"/>
        <v/>
      </c>
      <c r="O193" s="327" t="e">
        <f t="shared" si="48"/>
        <v>#NUM!</v>
      </c>
      <c r="P193" s="305"/>
      <c r="Q193" s="303">
        <f t="shared" si="47"/>
        <v>0</v>
      </c>
      <c r="R193" s="304">
        <f t="shared" si="51"/>
        <v>-86</v>
      </c>
      <c r="S193" s="305" t="str">
        <f t="shared" si="58"/>
        <v/>
      </c>
      <c r="T193" s="305" t="str">
        <f t="shared" si="59"/>
        <v/>
      </c>
      <c r="U193" s="305" t="str">
        <f t="shared" si="60"/>
        <v/>
      </c>
      <c r="V193" s="305" t="str">
        <f t="shared" si="61"/>
        <v/>
      </c>
      <c r="W193" s="314" t="str">
        <f t="shared" si="62"/>
        <v/>
      </c>
      <c r="X193" s="314" t="str">
        <f t="shared" si="63"/>
        <v/>
      </c>
      <c r="Y193" s="326" t="str">
        <f t="shared" si="49"/>
        <v/>
      </c>
    </row>
    <row r="194" spans="7:25" x14ac:dyDescent="0.25">
      <c r="G194" s="303">
        <f t="shared" si="46"/>
        <v>0</v>
      </c>
      <c r="H194" s="304">
        <f t="shared" si="50"/>
        <v>187</v>
      </c>
      <c r="I194" s="305" t="str">
        <f t="shared" si="52"/>
        <v/>
      </c>
      <c r="J194" s="305" t="str">
        <f t="shared" si="53"/>
        <v/>
      </c>
      <c r="K194" s="305" t="str">
        <f t="shared" si="54"/>
        <v/>
      </c>
      <c r="L194" s="305" t="str">
        <f t="shared" si="55"/>
        <v/>
      </c>
      <c r="M194" s="314" t="str">
        <f t="shared" si="56"/>
        <v/>
      </c>
      <c r="N194" s="305" t="str">
        <f t="shared" si="57"/>
        <v/>
      </c>
      <c r="O194" s="327" t="e">
        <f t="shared" si="48"/>
        <v>#NUM!</v>
      </c>
      <c r="P194" s="305"/>
      <c r="Q194" s="303">
        <f t="shared" si="47"/>
        <v>0</v>
      </c>
      <c r="R194" s="304">
        <f t="shared" si="51"/>
        <v>-87</v>
      </c>
      <c r="S194" s="305" t="str">
        <f t="shared" si="58"/>
        <v/>
      </c>
      <c r="T194" s="305" t="str">
        <f t="shared" si="59"/>
        <v/>
      </c>
      <c r="U194" s="305" t="str">
        <f t="shared" si="60"/>
        <v/>
      </c>
      <c r="V194" s="305" t="str">
        <f t="shared" si="61"/>
        <v/>
      </c>
      <c r="W194" s="314" t="str">
        <f t="shared" si="62"/>
        <v/>
      </c>
      <c r="X194" s="314" t="str">
        <f t="shared" si="63"/>
        <v/>
      </c>
      <c r="Y194" s="326" t="str">
        <f t="shared" si="49"/>
        <v/>
      </c>
    </row>
    <row r="195" spans="7:25" x14ac:dyDescent="0.25">
      <c r="G195" s="303">
        <f t="shared" si="46"/>
        <v>0</v>
      </c>
      <c r="H195" s="304">
        <f t="shared" si="50"/>
        <v>188</v>
      </c>
      <c r="I195" s="305" t="str">
        <f t="shared" si="52"/>
        <v/>
      </c>
      <c r="J195" s="305" t="str">
        <f t="shared" si="53"/>
        <v/>
      </c>
      <c r="K195" s="305" t="str">
        <f t="shared" si="54"/>
        <v/>
      </c>
      <c r="L195" s="305" t="str">
        <f t="shared" si="55"/>
        <v/>
      </c>
      <c r="M195" s="314" t="str">
        <f t="shared" si="56"/>
        <v/>
      </c>
      <c r="N195" s="305" t="str">
        <f t="shared" si="57"/>
        <v/>
      </c>
      <c r="O195" s="327" t="e">
        <f t="shared" si="48"/>
        <v>#NUM!</v>
      </c>
      <c r="P195" s="305"/>
      <c r="Q195" s="303">
        <f t="shared" si="47"/>
        <v>0</v>
      </c>
      <c r="R195" s="304">
        <f t="shared" si="51"/>
        <v>-88</v>
      </c>
      <c r="S195" s="305" t="str">
        <f t="shared" si="58"/>
        <v/>
      </c>
      <c r="T195" s="305" t="str">
        <f t="shared" si="59"/>
        <v/>
      </c>
      <c r="U195" s="305" t="str">
        <f t="shared" si="60"/>
        <v/>
      </c>
      <c r="V195" s="305" t="str">
        <f t="shared" si="61"/>
        <v/>
      </c>
      <c r="W195" s="314" t="str">
        <f t="shared" si="62"/>
        <v/>
      </c>
      <c r="X195" s="314" t="str">
        <f t="shared" si="63"/>
        <v/>
      </c>
      <c r="Y195" s="326" t="str">
        <f t="shared" si="49"/>
        <v/>
      </c>
    </row>
    <row r="196" spans="7:25" x14ac:dyDescent="0.25">
      <c r="G196" s="303">
        <f t="shared" si="46"/>
        <v>0</v>
      </c>
      <c r="H196" s="304">
        <f t="shared" si="50"/>
        <v>189</v>
      </c>
      <c r="I196" s="305" t="str">
        <f t="shared" si="52"/>
        <v/>
      </c>
      <c r="J196" s="305" t="str">
        <f t="shared" si="53"/>
        <v/>
      </c>
      <c r="K196" s="305" t="str">
        <f t="shared" si="54"/>
        <v/>
      </c>
      <c r="L196" s="305" t="str">
        <f t="shared" si="55"/>
        <v/>
      </c>
      <c r="M196" s="314" t="str">
        <f t="shared" si="56"/>
        <v/>
      </c>
      <c r="N196" s="305" t="str">
        <f t="shared" si="57"/>
        <v/>
      </c>
      <c r="O196" s="327" t="e">
        <f t="shared" si="48"/>
        <v>#NUM!</v>
      </c>
      <c r="P196" s="305"/>
      <c r="Q196" s="303">
        <f t="shared" si="47"/>
        <v>0</v>
      </c>
      <c r="R196" s="304">
        <f t="shared" si="51"/>
        <v>-89</v>
      </c>
      <c r="S196" s="305" t="str">
        <f t="shared" si="58"/>
        <v/>
      </c>
      <c r="T196" s="305" t="str">
        <f t="shared" si="59"/>
        <v/>
      </c>
      <c r="U196" s="305" t="str">
        <f t="shared" si="60"/>
        <v/>
      </c>
      <c r="V196" s="305" t="str">
        <f t="shared" si="61"/>
        <v/>
      </c>
      <c r="W196" s="314" t="str">
        <f t="shared" si="62"/>
        <v/>
      </c>
      <c r="X196" s="314" t="str">
        <f t="shared" si="63"/>
        <v/>
      </c>
      <c r="Y196" s="326" t="str">
        <f t="shared" si="49"/>
        <v/>
      </c>
    </row>
    <row r="197" spans="7:25" x14ac:dyDescent="0.25">
      <c r="G197" s="303">
        <f t="shared" si="46"/>
        <v>0</v>
      </c>
      <c r="H197" s="304">
        <f t="shared" si="50"/>
        <v>190</v>
      </c>
      <c r="I197" s="305" t="str">
        <f t="shared" si="52"/>
        <v/>
      </c>
      <c r="J197" s="305" t="str">
        <f t="shared" si="53"/>
        <v/>
      </c>
      <c r="K197" s="305" t="str">
        <f t="shared" si="54"/>
        <v/>
      </c>
      <c r="L197" s="305" t="str">
        <f t="shared" si="55"/>
        <v/>
      </c>
      <c r="M197" s="314" t="str">
        <f t="shared" si="56"/>
        <v/>
      </c>
      <c r="N197" s="305" t="str">
        <f t="shared" si="57"/>
        <v/>
      </c>
      <c r="O197" s="327" t="e">
        <f t="shared" si="48"/>
        <v>#NUM!</v>
      </c>
      <c r="P197" s="305"/>
      <c r="Q197" s="303">
        <f t="shared" si="47"/>
        <v>0</v>
      </c>
      <c r="R197" s="304">
        <f t="shared" si="51"/>
        <v>-90</v>
      </c>
      <c r="S197" s="305" t="str">
        <f t="shared" si="58"/>
        <v/>
      </c>
      <c r="T197" s="305" t="str">
        <f t="shared" si="59"/>
        <v/>
      </c>
      <c r="U197" s="305" t="str">
        <f t="shared" si="60"/>
        <v/>
      </c>
      <c r="V197" s="305" t="str">
        <f t="shared" si="61"/>
        <v/>
      </c>
      <c r="W197" s="314" t="str">
        <f t="shared" si="62"/>
        <v/>
      </c>
      <c r="X197" s="314" t="str">
        <f t="shared" si="63"/>
        <v/>
      </c>
      <c r="Y197" s="326" t="str">
        <f t="shared" si="49"/>
        <v/>
      </c>
    </row>
    <row r="198" spans="7:25" x14ac:dyDescent="0.25">
      <c r="G198" s="303">
        <f t="shared" si="46"/>
        <v>0</v>
      </c>
      <c r="H198" s="304">
        <f t="shared" si="50"/>
        <v>191</v>
      </c>
      <c r="I198" s="305" t="str">
        <f t="shared" si="52"/>
        <v/>
      </c>
      <c r="J198" s="305" t="str">
        <f t="shared" si="53"/>
        <v/>
      </c>
      <c r="K198" s="305" t="str">
        <f t="shared" si="54"/>
        <v/>
      </c>
      <c r="L198" s="305" t="str">
        <f t="shared" si="55"/>
        <v/>
      </c>
      <c r="M198" s="314" t="str">
        <f t="shared" si="56"/>
        <v/>
      </c>
      <c r="N198" s="305" t="str">
        <f t="shared" si="57"/>
        <v/>
      </c>
      <c r="O198" s="327" t="e">
        <f t="shared" si="48"/>
        <v>#NUM!</v>
      </c>
      <c r="P198" s="305"/>
      <c r="Q198" s="303">
        <f t="shared" si="47"/>
        <v>0</v>
      </c>
      <c r="R198" s="304">
        <f t="shared" si="51"/>
        <v>-91</v>
      </c>
      <c r="S198" s="305" t="str">
        <f t="shared" si="58"/>
        <v/>
      </c>
      <c r="T198" s="305" t="str">
        <f t="shared" si="59"/>
        <v/>
      </c>
      <c r="U198" s="305" t="str">
        <f t="shared" si="60"/>
        <v/>
      </c>
      <c r="V198" s="305" t="str">
        <f t="shared" si="61"/>
        <v/>
      </c>
      <c r="W198" s="314" t="str">
        <f t="shared" si="62"/>
        <v/>
      </c>
      <c r="X198" s="314" t="str">
        <f t="shared" si="63"/>
        <v/>
      </c>
      <c r="Y198" s="326" t="str">
        <f t="shared" si="49"/>
        <v/>
      </c>
    </row>
    <row r="199" spans="7:25" x14ac:dyDescent="0.25">
      <c r="G199" s="303">
        <f t="shared" ref="G199:G262" si="64">IF(H199&lt;=$C$16,1,0)</f>
        <v>0</v>
      </c>
      <c r="H199" s="304">
        <f t="shared" si="50"/>
        <v>192</v>
      </c>
      <c r="I199" s="305" t="str">
        <f t="shared" si="52"/>
        <v/>
      </c>
      <c r="J199" s="305" t="str">
        <f t="shared" si="53"/>
        <v/>
      </c>
      <c r="K199" s="305" t="str">
        <f t="shared" si="54"/>
        <v/>
      </c>
      <c r="L199" s="305" t="str">
        <f t="shared" si="55"/>
        <v/>
      </c>
      <c r="M199" s="314" t="str">
        <f t="shared" si="56"/>
        <v/>
      </c>
      <c r="N199" s="305" t="str">
        <f t="shared" si="57"/>
        <v/>
      </c>
      <c r="O199" s="327" t="e">
        <f t="shared" si="48"/>
        <v>#NUM!</v>
      </c>
      <c r="P199" s="305"/>
      <c r="Q199" s="303">
        <f t="shared" ref="Q199:Q262" si="65">IF(R199&gt;=$C$16,1,0)</f>
        <v>0</v>
      </c>
      <c r="R199" s="304">
        <f t="shared" si="51"/>
        <v>-92</v>
      </c>
      <c r="S199" s="305" t="str">
        <f t="shared" si="58"/>
        <v/>
      </c>
      <c r="T199" s="305" t="str">
        <f t="shared" si="59"/>
        <v/>
      </c>
      <c r="U199" s="305" t="str">
        <f t="shared" si="60"/>
        <v/>
      </c>
      <c r="V199" s="305" t="str">
        <f t="shared" si="61"/>
        <v/>
      </c>
      <c r="W199" s="314" t="str">
        <f t="shared" si="62"/>
        <v/>
      </c>
      <c r="X199" s="314" t="str">
        <f t="shared" si="63"/>
        <v/>
      </c>
      <c r="Y199" s="326" t="str">
        <f t="shared" si="49"/>
        <v/>
      </c>
    </row>
    <row r="200" spans="7:25" x14ac:dyDescent="0.25">
      <c r="G200" s="303">
        <f t="shared" si="64"/>
        <v>0</v>
      </c>
      <c r="H200" s="304">
        <f t="shared" si="50"/>
        <v>193</v>
      </c>
      <c r="I200" s="305" t="str">
        <f t="shared" si="52"/>
        <v/>
      </c>
      <c r="J200" s="305" t="str">
        <f t="shared" si="53"/>
        <v/>
      </c>
      <c r="K200" s="305" t="str">
        <f t="shared" si="54"/>
        <v/>
      </c>
      <c r="L200" s="305" t="str">
        <f t="shared" si="55"/>
        <v/>
      </c>
      <c r="M200" s="314" t="str">
        <f t="shared" si="56"/>
        <v/>
      </c>
      <c r="N200" s="305" t="str">
        <f t="shared" si="57"/>
        <v/>
      </c>
      <c r="O200" s="327" t="e">
        <f t="shared" ref="O200:O263" si="66">IF($C$15=1,IF(AND(O199&lt;=$C$17,M200&lt;=$C$17),M200,""),"")</f>
        <v>#NUM!</v>
      </c>
      <c r="P200" s="305"/>
      <c r="Q200" s="303">
        <f t="shared" si="65"/>
        <v>0</v>
      </c>
      <c r="R200" s="304">
        <f t="shared" si="51"/>
        <v>-93</v>
      </c>
      <c r="S200" s="305" t="str">
        <f t="shared" si="58"/>
        <v/>
      </c>
      <c r="T200" s="305" t="str">
        <f t="shared" si="59"/>
        <v/>
      </c>
      <c r="U200" s="305" t="str">
        <f t="shared" si="60"/>
        <v/>
      </c>
      <c r="V200" s="305" t="str">
        <f t="shared" si="61"/>
        <v/>
      </c>
      <c r="W200" s="314" t="str">
        <f t="shared" si="62"/>
        <v/>
      </c>
      <c r="X200" s="314" t="str">
        <f t="shared" si="63"/>
        <v/>
      </c>
      <c r="Y200" s="326" t="str">
        <f t="shared" ref="Y200:Y263" si="67">IF($C$15=-1,IF(AND(Y199&lt;=$C$17,W200&lt;=$C$17),M200,""),"")</f>
        <v/>
      </c>
    </row>
    <row r="201" spans="7:25" x14ac:dyDescent="0.25">
      <c r="G201" s="303">
        <f t="shared" si="64"/>
        <v>0</v>
      </c>
      <c r="H201" s="304">
        <f t="shared" ref="H201:H264" si="68">H200+1</f>
        <v>194</v>
      </c>
      <c r="I201" s="305" t="str">
        <f t="shared" si="52"/>
        <v/>
      </c>
      <c r="J201" s="305" t="str">
        <f t="shared" si="53"/>
        <v/>
      </c>
      <c r="K201" s="305" t="str">
        <f t="shared" si="54"/>
        <v/>
      </c>
      <c r="L201" s="305" t="str">
        <f t="shared" si="55"/>
        <v/>
      </c>
      <c r="M201" s="314" t="str">
        <f t="shared" si="56"/>
        <v/>
      </c>
      <c r="N201" s="305" t="str">
        <f t="shared" si="57"/>
        <v/>
      </c>
      <c r="O201" s="327" t="e">
        <f t="shared" si="66"/>
        <v>#NUM!</v>
      </c>
      <c r="P201" s="305"/>
      <c r="Q201" s="303">
        <f t="shared" si="65"/>
        <v>0</v>
      </c>
      <c r="R201" s="304">
        <f t="shared" ref="R201:R264" si="69">R200-1</f>
        <v>-94</v>
      </c>
      <c r="S201" s="305" t="str">
        <f t="shared" si="58"/>
        <v/>
      </c>
      <c r="T201" s="305" t="str">
        <f t="shared" si="59"/>
        <v/>
      </c>
      <c r="U201" s="305" t="str">
        <f t="shared" si="60"/>
        <v/>
      </c>
      <c r="V201" s="305" t="str">
        <f t="shared" si="61"/>
        <v/>
      </c>
      <c r="W201" s="314" t="str">
        <f t="shared" si="62"/>
        <v/>
      </c>
      <c r="X201" s="314" t="str">
        <f t="shared" si="63"/>
        <v/>
      </c>
      <c r="Y201" s="326" t="str">
        <f t="shared" si="67"/>
        <v/>
      </c>
    </row>
    <row r="202" spans="7:25" x14ac:dyDescent="0.25">
      <c r="G202" s="303">
        <f t="shared" si="64"/>
        <v>0</v>
      </c>
      <c r="H202" s="304">
        <f t="shared" si="68"/>
        <v>195</v>
      </c>
      <c r="I202" s="305" t="str">
        <f t="shared" si="52"/>
        <v/>
      </c>
      <c r="J202" s="305" t="str">
        <f t="shared" si="53"/>
        <v/>
      </c>
      <c r="K202" s="305" t="str">
        <f t="shared" si="54"/>
        <v/>
      </c>
      <c r="L202" s="305" t="str">
        <f t="shared" si="55"/>
        <v/>
      </c>
      <c r="M202" s="314" t="str">
        <f t="shared" si="56"/>
        <v/>
      </c>
      <c r="N202" s="305" t="str">
        <f t="shared" si="57"/>
        <v/>
      </c>
      <c r="O202" s="327" t="e">
        <f t="shared" si="66"/>
        <v>#NUM!</v>
      </c>
      <c r="P202" s="305"/>
      <c r="Q202" s="303">
        <f t="shared" si="65"/>
        <v>0</v>
      </c>
      <c r="R202" s="304">
        <f t="shared" si="69"/>
        <v>-95</v>
      </c>
      <c r="S202" s="305" t="str">
        <f t="shared" si="58"/>
        <v/>
      </c>
      <c r="T202" s="305" t="str">
        <f t="shared" si="59"/>
        <v/>
      </c>
      <c r="U202" s="305" t="str">
        <f t="shared" si="60"/>
        <v/>
      </c>
      <c r="V202" s="305" t="str">
        <f t="shared" si="61"/>
        <v/>
      </c>
      <c r="W202" s="314" t="str">
        <f t="shared" si="62"/>
        <v/>
      </c>
      <c r="X202" s="314" t="str">
        <f t="shared" si="63"/>
        <v/>
      </c>
      <c r="Y202" s="326" t="str">
        <f t="shared" si="67"/>
        <v/>
      </c>
    </row>
    <row r="203" spans="7:25" x14ac:dyDescent="0.25">
      <c r="G203" s="303">
        <f t="shared" si="64"/>
        <v>0</v>
      </c>
      <c r="H203" s="304">
        <f t="shared" si="68"/>
        <v>196</v>
      </c>
      <c r="I203" s="305" t="str">
        <f t="shared" si="52"/>
        <v/>
      </c>
      <c r="J203" s="305" t="str">
        <f t="shared" si="53"/>
        <v/>
      </c>
      <c r="K203" s="305" t="str">
        <f t="shared" si="54"/>
        <v/>
      </c>
      <c r="L203" s="305" t="str">
        <f t="shared" si="55"/>
        <v/>
      </c>
      <c r="M203" s="314" t="str">
        <f t="shared" si="56"/>
        <v/>
      </c>
      <c r="N203" s="305" t="str">
        <f t="shared" si="57"/>
        <v/>
      </c>
      <c r="O203" s="327" t="e">
        <f t="shared" si="66"/>
        <v>#NUM!</v>
      </c>
      <c r="P203" s="305"/>
      <c r="Q203" s="303">
        <f t="shared" si="65"/>
        <v>0</v>
      </c>
      <c r="R203" s="304">
        <f t="shared" si="69"/>
        <v>-96</v>
      </c>
      <c r="S203" s="305" t="str">
        <f t="shared" si="58"/>
        <v/>
      </c>
      <c r="T203" s="305" t="str">
        <f t="shared" si="59"/>
        <v/>
      </c>
      <c r="U203" s="305" t="str">
        <f t="shared" si="60"/>
        <v/>
      </c>
      <c r="V203" s="305" t="str">
        <f t="shared" si="61"/>
        <v/>
      </c>
      <c r="W203" s="314" t="str">
        <f t="shared" si="62"/>
        <v/>
      </c>
      <c r="X203" s="314" t="str">
        <f t="shared" si="63"/>
        <v/>
      </c>
      <c r="Y203" s="326" t="str">
        <f t="shared" si="67"/>
        <v/>
      </c>
    </row>
    <row r="204" spans="7:25" x14ac:dyDescent="0.25">
      <c r="G204" s="303">
        <f t="shared" si="64"/>
        <v>0</v>
      </c>
      <c r="H204" s="304">
        <f t="shared" si="68"/>
        <v>197</v>
      </c>
      <c r="I204" s="305" t="str">
        <f t="shared" si="52"/>
        <v/>
      </c>
      <c r="J204" s="305" t="str">
        <f t="shared" si="53"/>
        <v/>
      </c>
      <c r="K204" s="305" t="str">
        <f t="shared" si="54"/>
        <v/>
      </c>
      <c r="L204" s="305" t="str">
        <f t="shared" si="55"/>
        <v/>
      </c>
      <c r="M204" s="314" t="str">
        <f t="shared" si="56"/>
        <v/>
      </c>
      <c r="N204" s="305" t="str">
        <f t="shared" si="57"/>
        <v/>
      </c>
      <c r="O204" s="327" t="e">
        <f t="shared" si="66"/>
        <v>#NUM!</v>
      </c>
      <c r="P204" s="305"/>
      <c r="Q204" s="303">
        <f t="shared" si="65"/>
        <v>0</v>
      </c>
      <c r="R204" s="304">
        <f t="shared" si="69"/>
        <v>-97</v>
      </c>
      <c r="S204" s="305" t="str">
        <f t="shared" si="58"/>
        <v/>
      </c>
      <c r="T204" s="305" t="str">
        <f t="shared" si="59"/>
        <v/>
      </c>
      <c r="U204" s="305" t="str">
        <f t="shared" si="60"/>
        <v/>
      </c>
      <c r="V204" s="305" t="str">
        <f t="shared" si="61"/>
        <v/>
      </c>
      <c r="W204" s="314" t="str">
        <f t="shared" si="62"/>
        <v/>
      </c>
      <c r="X204" s="314" t="str">
        <f t="shared" si="63"/>
        <v/>
      </c>
      <c r="Y204" s="326" t="str">
        <f t="shared" si="67"/>
        <v/>
      </c>
    </row>
    <row r="205" spans="7:25" x14ac:dyDescent="0.25">
      <c r="G205" s="303">
        <f t="shared" si="64"/>
        <v>0</v>
      </c>
      <c r="H205" s="304">
        <f t="shared" si="68"/>
        <v>198</v>
      </c>
      <c r="I205" s="305" t="str">
        <f t="shared" ref="I205:I268" si="70">IF(G205,H205,"")</f>
        <v/>
      </c>
      <c r="J205" s="305" t="str">
        <f t="shared" ref="J205:J268" si="71">IF(G205,$D$5-H205,"")</f>
        <v/>
      </c>
      <c r="K205" s="305" t="str">
        <f t="shared" ref="K205:K268" si="72">IF(G205,$B$7-H205,"")</f>
        <v/>
      </c>
      <c r="L205" s="305" t="str">
        <f t="shared" ref="L205:L268" si="73">IF(G205,$D$7-SUM(I205:K205),"")</f>
        <v/>
      </c>
      <c r="M205" s="314" t="str">
        <f t="shared" ref="M205:M268" si="74">IF(G205,M204*(K204*J204)/(L205*I205),"")</f>
        <v/>
      </c>
      <c r="N205" s="305" t="str">
        <f t="shared" ref="N205:N268" si="75">IF(AND(G205=1,I205&lt;=$B$5),M205,"")</f>
        <v/>
      </c>
      <c r="O205" s="327" t="e">
        <f t="shared" si="66"/>
        <v>#NUM!</v>
      </c>
      <c r="P205" s="305"/>
      <c r="Q205" s="303">
        <f t="shared" si="65"/>
        <v>0</v>
      </c>
      <c r="R205" s="304">
        <f t="shared" si="69"/>
        <v>-98</v>
      </c>
      <c r="S205" s="305" t="str">
        <f t="shared" ref="S205:S268" si="76">IF(Q205,R205,"")</f>
        <v/>
      </c>
      <c r="T205" s="305" t="str">
        <f t="shared" ref="T205:T268" si="77">IF(Q205,$D$5-R205,"")</f>
        <v/>
      </c>
      <c r="U205" s="305" t="str">
        <f t="shared" ref="U205:U268" si="78">IF(Q205,$B$7-R205,"")</f>
        <v/>
      </c>
      <c r="V205" s="305" t="str">
        <f t="shared" ref="V205:V268" si="79">IF(Q205,$D$7-SUM(S205:U205),"")</f>
        <v/>
      </c>
      <c r="W205" s="314" t="str">
        <f t="shared" ref="W205:W268" si="80">IF(Q205,W204*(S204*V204)/(U205*T205),"")</f>
        <v/>
      </c>
      <c r="X205" s="314" t="str">
        <f t="shared" ref="X205:X268" si="81">IF(AND(Q205=1,S205&gt;=$B$5),W205,"")</f>
        <v/>
      </c>
      <c r="Y205" s="326" t="str">
        <f t="shared" si="67"/>
        <v/>
      </c>
    </row>
    <row r="206" spans="7:25" x14ac:dyDescent="0.25">
      <c r="G206" s="303">
        <f t="shared" si="64"/>
        <v>0</v>
      </c>
      <c r="H206" s="304">
        <f t="shared" si="68"/>
        <v>199</v>
      </c>
      <c r="I206" s="305" t="str">
        <f t="shared" si="70"/>
        <v/>
      </c>
      <c r="J206" s="305" t="str">
        <f t="shared" si="71"/>
        <v/>
      </c>
      <c r="K206" s="305" t="str">
        <f t="shared" si="72"/>
        <v/>
      </c>
      <c r="L206" s="305" t="str">
        <f t="shared" si="73"/>
        <v/>
      </c>
      <c r="M206" s="314" t="str">
        <f t="shared" si="74"/>
        <v/>
      </c>
      <c r="N206" s="305" t="str">
        <f t="shared" si="75"/>
        <v/>
      </c>
      <c r="O206" s="327" t="e">
        <f t="shared" si="66"/>
        <v>#NUM!</v>
      </c>
      <c r="P206" s="305"/>
      <c r="Q206" s="303">
        <f t="shared" si="65"/>
        <v>0</v>
      </c>
      <c r="R206" s="304">
        <f t="shared" si="69"/>
        <v>-99</v>
      </c>
      <c r="S206" s="305" t="str">
        <f t="shared" si="76"/>
        <v/>
      </c>
      <c r="T206" s="305" t="str">
        <f t="shared" si="77"/>
        <v/>
      </c>
      <c r="U206" s="305" t="str">
        <f t="shared" si="78"/>
        <v/>
      </c>
      <c r="V206" s="305" t="str">
        <f t="shared" si="79"/>
        <v/>
      </c>
      <c r="W206" s="314" t="str">
        <f t="shared" si="80"/>
        <v/>
      </c>
      <c r="X206" s="314" t="str">
        <f t="shared" si="81"/>
        <v/>
      </c>
      <c r="Y206" s="326" t="str">
        <f t="shared" si="67"/>
        <v/>
      </c>
    </row>
    <row r="207" spans="7:25" x14ac:dyDescent="0.25">
      <c r="G207" s="303">
        <f t="shared" si="64"/>
        <v>0</v>
      </c>
      <c r="H207" s="304">
        <f t="shared" si="68"/>
        <v>200</v>
      </c>
      <c r="I207" s="305" t="str">
        <f t="shared" si="70"/>
        <v/>
      </c>
      <c r="J207" s="305" t="str">
        <f t="shared" si="71"/>
        <v/>
      </c>
      <c r="K207" s="305" t="str">
        <f t="shared" si="72"/>
        <v/>
      </c>
      <c r="L207" s="305" t="str">
        <f t="shared" si="73"/>
        <v/>
      </c>
      <c r="M207" s="314" t="str">
        <f t="shared" si="74"/>
        <v/>
      </c>
      <c r="N207" s="305" t="str">
        <f t="shared" si="75"/>
        <v/>
      </c>
      <c r="O207" s="327" t="e">
        <f t="shared" si="66"/>
        <v>#NUM!</v>
      </c>
      <c r="P207" s="305"/>
      <c r="Q207" s="303">
        <f t="shared" si="65"/>
        <v>0</v>
      </c>
      <c r="R207" s="304">
        <f t="shared" si="69"/>
        <v>-100</v>
      </c>
      <c r="S207" s="305" t="str">
        <f t="shared" si="76"/>
        <v/>
      </c>
      <c r="T207" s="305" t="str">
        <f t="shared" si="77"/>
        <v/>
      </c>
      <c r="U207" s="305" t="str">
        <f t="shared" si="78"/>
        <v/>
      </c>
      <c r="V207" s="305" t="str">
        <f t="shared" si="79"/>
        <v/>
      </c>
      <c r="W207" s="314" t="str">
        <f t="shared" si="80"/>
        <v/>
      </c>
      <c r="X207" s="314" t="str">
        <f t="shared" si="81"/>
        <v/>
      </c>
      <c r="Y207" s="326" t="str">
        <f t="shared" si="67"/>
        <v/>
      </c>
    </row>
    <row r="208" spans="7:25" x14ac:dyDescent="0.25">
      <c r="G208" s="303">
        <f t="shared" si="64"/>
        <v>0</v>
      </c>
      <c r="H208" s="304">
        <f t="shared" si="68"/>
        <v>201</v>
      </c>
      <c r="I208" s="305" t="str">
        <f t="shared" si="70"/>
        <v/>
      </c>
      <c r="J208" s="305" t="str">
        <f t="shared" si="71"/>
        <v/>
      </c>
      <c r="K208" s="305" t="str">
        <f t="shared" si="72"/>
        <v/>
      </c>
      <c r="L208" s="305" t="str">
        <f t="shared" si="73"/>
        <v/>
      </c>
      <c r="M208" s="314" t="str">
        <f t="shared" si="74"/>
        <v/>
      </c>
      <c r="N208" s="305" t="str">
        <f t="shared" si="75"/>
        <v/>
      </c>
      <c r="O208" s="327" t="e">
        <f t="shared" si="66"/>
        <v>#NUM!</v>
      </c>
      <c r="P208" s="305"/>
      <c r="Q208" s="303">
        <f t="shared" si="65"/>
        <v>0</v>
      </c>
      <c r="R208" s="304">
        <f t="shared" si="69"/>
        <v>-101</v>
      </c>
      <c r="S208" s="305" t="str">
        <f t="shared" si="76"/>
        <v/>
      </c>
      <c r="T208" s="305" t="str">
        <f t="shared" si="77"/>
        <v/>
      </c>
      <c r="U208" s="305" t="str">
        <f t="shared" si="78"/>
        <v/>
      </c>
      <c r="V208" s="305" t="str">
        <f t="shared" si="79"/>
        <v/>
      </c>
      <c r="W208" s="314" t="str">
        <f t="shared" si="80"/>
        <v/>
      </c>
      <c r="X208" s="314" t="str">
        <f t="shared" si="81"/>
        <v/>
      </c>
      <c r="Y208" s="326" t="str">
        <f t="shared" si="67"/>
        <v/>
      </c>
    </row>
    <row r="209" spans="7:25" x14ac:dyDescent="0.25">
      <c r="G209" s="303">
        <f t="shared" si="64"/>
        <v>0</v>
      </c>
      <c r="H209" s="304">
        <f t="shared" si="68"/>
        <v>202</v>
      </c>
      <c r="I209" s="305" t="str">
        <f t="shared" si="70"/>
        <v/>
      </c>
      <c r="J209" s="305" t="str">
        <f t="shared" si="71"/>
        <v/>
      </c>
      <c r="K209" s="305" t="str">
        <f t="shared" si="72"/>
        <v/>
      </c>
      <c r="L209" s="305" t="str">
        <f t="shared" si="73"/>
        <v/>
      </c>
      <c r="M209" s="314" t="str">
        <f t="shared" si="74"/>
        <v/>
      </c>
      <c r="N209" s="305" t="str">
        <f t="shared" si="75"/>
        <v/>
      </c>
      <c r="O209" s="327" t="e">
        <f t="shared" si="66"/>
        <v>#NUM!</v>
      </c>
      <c r="P209" s="305"/>
      <c r="Q209" s="303">
        <f t="shared" si="65"/>
        <v>0</v>
      </c>
      <c r="R209" s="304">
        <f t="shared" si="69"/>
        <v>-102</v>
      </c>
      <c r="S209" s="305" t="str">
        <f t="shared" si="76"/>
        <v/>
      </c>
      <c r="T209" s="305" t="str">
        <f t="shared" si="77"/>
        <v/>
      </c>
      <c r="U209" s="305" t="str">
        <f t="shared" si="78"/>
        <v/>
      </c>
      <c r="V209" s="305" t="str">
        <f t="shared" si="79"/>
        <v/>
      </c>
      <c r="W209" s="314" t="str">
        <f t="shared" si="80"/>
        <v/>
      </c>
      <c r="X209" s="314" t="str">
        <f t="shared" si="81"/>
        <v/>
      </c>
      <c r="Y209" s="326" t="str">
        <f t="shared" si="67"/>
        <v/>
      </c>
    </row>
    <row r="210" spans="7:25" x14ac:dyDescent="0.25">
      <c r="G210" s="303">
        <f t="shared" si="64"/>
        <v>0</v>
      </c>
      <c r="H210" s="304">
        <f t="shared" si="68"/>
        <v>203</v>
      </c>
      <c r="I210" s="305" t="str">
        <f t="shared" si="70"/>
        <v/>
      </c>
      <c r="J210" s="305" t="str">
        <f t="shared" si="71"/>
        <v/>
      </c>
      <c r="K210" s="305" t="str">
        <f t="shared" si="72"/>
        <v/>
      </c>
      <c r="L210" s="305" t="str">
        <f t="shared" si="73"/>
        <v/>
      </c>
      <c r="M210" s="314" t="str">
        <f t="shared" si="74"/>
        <v/>
      </c>
      <c r="N210" s="305" t="str">
        <f t="shared" si="75"/>
        <v/>
      </c>
      <c r="O210" s="327" t="e">
        <f t="shared" si="66"/>
        <v>#NUM!</v>
      </c>
      <c r="P210" s="305"/>
      <c r="Q210" s="303">
        <f t="shared" si="65"/>
        <v>0</v>
      </c>
      <c r="R210" s="304">
        <f t="shared" si="69"/>
        <v>-103</v>
      </c>
      <c r="S210" s="305" t="str">
        <f t="shared" si="76"/>
        <v/>
      </c>
      <c r="T210" s="305" t="str">
        <f t="shared" si="77"/>
        <v/>
      </c>
      <c r="U210" s="305" t="str">
        <f t="shared" si="78"/>
        <v/>
      </c>
      <c r="V210" s="305" t="str">
        <f t="shared" si="79"/>
        <v/>
      </c>
      <c r="W210" s="314" t="str">
        <f t="shared" si="80"/>
        <v/>
      </c>
      <c r="X210" s="314" t="str">
        <f t="shared" si="81"/>
        <v/>
      </c>
      <c r="Y210" s="326" t="str">
        <f t="shared" si="67"/>
        <v/>
      </c>
    </row>
    <row r="211" spans="7:25" x14ac:dyDescent="0.25">
      <c r="G211" s="303">
        <f t="shared" si="64"/>
        <v>0</v>
      </c>
      <c r="H211" s="304">
        <f t="shared" si="68"/>
        <v>204</v>
      </c>
      <c r="I211" s="305" t="str">
        <f t="shared" si="70"/>
        <v/>
      </c>
      <c r="J211" s="305" t="str">
        <f t="shared" si="71"/>
        <v/>
      </c>
      <c r="K211" s="305" t="str">
        <f t="shared" si="72"/>
        <v/>
      </c>
      <c r="L211" s="305" t="str">
        <f t="shared" si="73"/>
        <v/>
      </c>
      <c r="M211" s="314" t="str">
        <f t="shared" si="74"/>
        <v/>
      </c>
      <c r="N211" s="305" t="str">
        <f t="shared" si="75"/>
        <v/>
      </c>
      <c r="O211" s="327" t="e">
        <f t="shared" si="66"/>
        <v>#NUM!</v>
      </c>
      <c r="P211" s="305"/>
      <c r="Q211" s="303">
        <f t="shared" si="65"/>
        <v>0</v>
      </c>
      <c r="R211" s="304">
        <f t="shared" si="69"/>
        <v>-104</v>
      </c>
      <c r="S211" s="305" t="str">
        <f t="shared" si="76"/>
        <v/>
      </c>
      <c r="T211" s="305" t="str">
        <f t="shared" si="77"/>
        <v/>
      </c>
      <c r="U211" s="305" t="str">
        <f t="shared" si="78"/>
        <v/>
      </c>
      <c r="V211" s="305" t="str">
        <f t="shared" si="79"/>
        <v/>
      </c>
      <c r="W211" s="314" t="str">
        <f t="shared" si="80"/>
        <v/>
      </c>
      <c r="X211" s="314" t="str">
        <f t="shared" si="81"/>
        <v/>
      </c>
      <c r="Y211" s="326" t="str">
        <f t="shared" si="67"/>
        <v/>
      </c>
    </row>
    <row r="212" spans="7:25" x14ac:dyDescent="0.25">
      <c r="G212" s="303">
        <f t="shared" si="64"/>
        <v>0</v>
      </c>
      <c r="H212" s="304">
        <f t="shared" si="68"/>
        <v>205</v>
      </c>
      <c r="I212" s="305" t="str">
        <f t="shared" si="70"/>
        <v/>
      </c>
      <c r="J212" s="305" t="str">
        <f t="shared" si="71"/>
        <v/>
      </c>
      <c r="K212" s="305" t="str">
        <f t="shared" si="72"/>
        <v/>
      </c>
      <c r="L212" s="305" t="str">
        <f t="shared" si="73"/>
        <v/>
      </c>
      <c r="M212" s="314" t="str">
        <f t="shared" si="74"/>
        <v/>
      </c>
      <c r="N212" s="305" t="str">
        <f t="shared" si="75"/>
        <v/>
      </c>
      <c r="O212" s="327" t="e">
        <f t="shared" si="66"/>
        <v>#NUM!</v>
      </c>
      <c r="P212" s="305"/>
      <c r="Q212" s="303">
        <f t="shared" si="65"/>
        <v>0</v>
      </c>
      <c r="R212" s="304">
        <f t="shared" si="69"/>
        <v>-105</v>
      </c>
      <c r="S212" s="305" t="str">
        <f t="shared" si="76"/>
        <v/>
      </c>
      <c r="T212" s="305" t="str">
        <f t="shared" si="77"/>
        <v/>
      </c>
      <c r="U212" s="305" t="str">
        <f t="shared" si="78"/>
        <v/>
      </c>
      <c r="V212" s="305" t="str">
        <f t="shared" si="79"/>
        <v/>
      </c>
      <c r="W212" s="314" t="str">
        <f t="shared" si="80"/>
        <v/>
      </c>
      <c r="X212" s="314" t="str">
        <f t="shared" si="81"/>
        <v/>
      </c>
      <c r="Y212" s="326" t="str">
        <f t="shared" si="67"/>
        <v/>
      </c>
    </row>
    <row r="213" spans="7:25" x14ac:dyDescent="0.25">
      <c r="G213" s="303">
        <f t="shared" si="64"/>
        <v>0</v>
      </c>
      <c r="H213" s="304">
        <f t="shared" si="68"/>
        <v>206</v>
      </c>
      <c r="I213" s="305" t="str">
        <f t="shared" si="70"/>
        <v/>
      </c>
      <c r="J213" s="305" t="str">
        <f t="shared" si="71"/>
        <v/>
      </c>
      <c r="K213" s="305" t="str">
        <f t="shared" si="72"/>
        <v/>
      </c>
      <c r="L213" s="305" t="str">
        <f t="shared" si="73"/>
        <v/>
      </c>
      <c r="M213" s="314" t="str">
        <f t="shared" si="74"/>
        <v/>
      </c>
      <c r="N213" s="305" t="str">
        <f t="shared" si="75"/>
        <v/>
      </c>
      <c r="O213" s="327" t="e">
        <f t="shared" si="66"/>
        <v>#NUM!</v>
      </c>
      <c r="P213" s="305"/>
      <c r="Q213" s="303">
        <f t="shared" si="65"/>
        <v>0</v>
      </c>
      <c r="R213" s="304">
        <f t="shared" si="69"/>
        <v>-106</v>
      </c>
      <c r="S213" s="305" t="str">
        <f t="shared" si="76"/>
        <v/>
      </c>
      <c r="T213" s="305" t="str">
        <f t="shared" si="77"/>
        <v/>
      </c>
      <c r="U213" s="305" t="str">
        <f t="shared" si="78"/>
        <v/>
      </c>
      <c r="V213" s="305" t="str">
        <f t="shared" si="79"/>
        <v/>
      </c>
      <c r="W213" s="314" t="str">
        <f t="shared" si="80"/>
        <v/>
      </c>
      <c r="X213" s="314" t="str">
        <f t="shared" si="81"/>
        <v/>
      </c>
      <c r="Y213" s="326" t="str">
        <f t="shared" si="67"/>
        <v/>
      </c>
    </row>
    <row r="214" spans="7:25" x14ac:dyDescent="0.25">
      <c r="G214" s="303">
        <f t="shared" si="64"/>
        <v>0</v>
      </c>
      <c r="H214" s="304">
        <f t="shared" si="68"/>
        <v>207</v>
      </c>
      <c r="I214" s="305" t="str">
        <f t="shared" si="70"/>
        <v/>
      </c>
      <c r="J214" s="305" t="str">
        <f t="shared" si="71"/>
        <v/>
      </c>
      <c r="K214" s="305" t="str">
        <f t="shared" si="72"/>
        <v/>
      </c>
      <c r="L214" s="305" t="str">
        <f t="shared" si="73"/>
        <v/>
      </c>
      <c r="M214" s="314" t="str">
        <f t="shared" si="74"/>
        <v/>
      </c>
      <c r="N214" s="305" t="str">
        <f t="shared" si="75"/>
        <v/>
      </c>
      <c r="O214" s="327" t="e">
        <f t="shared" si="66"/>
        <v>#NUM!</v>
      </c>
      <c r="P214" s="305"/>
      <c r="Q214" s="303">
        <f t="shared" si="65"/>
        <v>0</v>
      </c>
      <c r="R214" s="304">
        <f t="shared" si="69"/>
        <v>-107</v>
      </c>
      <c r="S214" s="305" t="str">
        <f t="shared" si="76"/>
        <v/>
      </c>
      <c r="T214" s="305" t="str">
        <f t="shared" si="77"/>
        <v/>
      </c>
      <c r="U214" s="305" t="str">
        <f t="shared" si="78"/>
        <v/>
      </c>
      <c r="V214" s="305" t="str">
        <f t="shared" si="79"/>
        <v/>
      </c>
      <c r="W214" s="314" t="str">
        <f t="shared" si="80"/>
        <v/>
      </c>
      <c r="X214" s="314" t="str">
        <f t="shared" si="81"/>
        <v/>
      </c>
      <c r="Y214" s="326" t="str">
        <f t="shared" si="67"/>
        <v/>
      </c>
    </row>
    <row r="215" spans="7:25" x14ac:dyDescent="0.25">
      <c r="G215" s="303">
        <f t="shared" si="64"/>
        <v>0</v>
      </c>
      <c r="H215" s="304">
        <f t="shared" si="68"/>
        <v>208</v>
      </c>
      <c r="I215" s="305" t="str">
        <f t="shared" si="70"/>
        <v/>
      </c>
      <c r="J215" s="305" t="str">
        <f t="shared" si="71"/>
        <v/>
      </c>
      <c r="K215" s="305" t="str">
        <f t="shared" si="72"/>
        <v/>
      </c>
      <c r="L215" s="305" t="str">
        <f t="shared" si="73"/>
        <v/>
      </c>
      <c r="M215" s="314" t="str">
        <f t="shared" si="74"/>
        <v/>
      </c>
      <c r="N215" s="305" t="str">
        <f t="shared" si="75"/>
        <v/>
      </c>
      <c r="O215" s="327" t="e">
        <f t="shared" si="66"/>
        <v>#NUM!</v>
      </c>
      <c r="P215" s="305"/>
      <c r="Q215" s="303">
        <f t="shared" si="65"/>
        <v>0</v>
      </c>
      <c r="R215" s="304">
        <f t="shared" si="69"/>
        <v>-108</v>
      </c>
      <c r="S215" s="305" t="str">
        <f t="shared" si="76"/>
        <v/>
      </c>
      <c r="T215" s="305" t="str">
        <f t="shared" si="77"/>
        <v/>
      </c>
      <c r="U215" s="305" t="str">
        <f t="shared" si="78"/>
        <v/>
      </c>
      <c r="V215" s="305" t="str">
        <f t="shared" si="79"/>
        <v/>
      </c>
      <c r="W215" s="314" t="str">
        <f t="shared" si="80"/>
        <v/>
      </c>
      <c r="X215" s="314" t="str">
        <f t="shared" si="81"/>
        <v/>
      </c>
      <c r="Y215" s="326" t="str">
        <f t="shared" si="67"/>
        <v/>
      </c>
    </row>
    <row r="216" spans="7:25" x14ac:dyDescent="0.25">
      <c r="G216" s="303">
        <f t="shared" si="64"/>
        <v>0</v>
      </c>
      <c r="H216" s="304">
        <f t="shared" si="68"/>
        <v>209</v>
      </c>
      <c r="I216" s="305" t="str">
        <f t="shared" si="70"/>
        <v/>
      </c>
      <c r="J216" s="305" t="str">
        <f t="shared" si="71"/>
        <v/>
      </c>
      <c r="K216" s="305" t="str">
        <f t="shared" si="72"/>
        <v/>
      </c>
      <c r="L216" s="305" t="str">
        <f t="shared" si="73"/>
        <v/>
      </c>
      <c r="M216" s="314" t="str">
        <f t="shared" si="74"/>
        <v/>
      </c>
      <c r="N216" s="305" t="str">
        <f t="shared" si="75"/>
        <v/>
      </c>
      <c r="O216" s="327" t="e">
        <f t="shared" si="66"/>
        <v>#NUM!</v>
      </c>
      <c r="P216" s="305"/>
      <c r="Q216" s="303">
        <f t="shared" si="65"/>
        <v>0</v>
      </c>
      <c r="R216" s="304">
        <f t="shared" si="69"/>
        <v>-109</v>
      </c>
      <c r="S216" s="305" t="str">
        <f t="shared" si="76"/>
        <v/>
      </c>
      <c r="T216" s="305" t="str">
        <f t="shared" si="77"/>
        <v/>
      </c>
      <c r="U216" s="305" t="str">
        <f t="shared" si="78"/>
        <v/>
      </c>
      <c r="V216" s="305" t="str">
        <f t="shared" si="79"/>
        <v/>
      </c>
      <c r="W216" s="314" t="str">
        <f t="shared" si="80"/>
        <v/>
      </c>
      <c r="X216" s="314" t="str">
        <f t="shared" si="81"/>
        <v/>
      </c>
      <c r="Y216" s="326" t="str">
        <f t="shared" si="67"/>
        <v/>
      </c>
    </row>
    <row r="217" spans="7:25" x14ac:dyDescent="0.25">
      <c r="G217" s="303">
        <f t="shared" si="64"/>
        <v>0</v>
      </c>
      <c r="H217" s="304">
        <f t="shared" si="68"/>
        <v>210</v>
      </c>
      <c r="I217" s="305" t="str">
        <f t="shared" si="70"/>
        <v/>
      </c>
      <c r="J217" s="305" t="str">
        <f t="shared" si="71"/>
        <v/>
      </c>
      <c r="K217" s="305" t="str">
        <f t="shared" si="72"/>
        <v/>
      </c>
      <c r="L217" s="305" t="str">
        <f t="shared" si="73"/>
        <v/>
      </c>
      <c r="M217" s="314" t="str">
        <f t="shared" si="74"/>
        <v/>
      </c>
      <c r="N217" s="305" t="str">
        <f t="shared" si="75"/>
        <v/>
      </c>
      <c r="O217" s="327" t="e">
        <f t="shared" si="66"/>
        <v>#NUM!</v>
      </c>
      <c r="P217" s="305"/>
      <c r="Q217" s="303">
        <f t="shared" si="65"/>
        <v>0</v>
      </c>
      <c r="R217" s="304">
        <f t="shared" si="69"/>
        <v>-110</v>
      </c>
      <c r="S217" s="305" t="str">
        <f t="shared" si="76"/>
        <v/>
      </c>
      <c r="T217" s="305" t="str">
        <f t="shared" si="77"/>
        <v/>
      </c>
      <c r="U217" s="305" t="str">
        <f t="shared" si="78"/>
        <v/>
      </c>
      <c r="V217" s="305" t="str">
        <f t="shared" si="79"/>
        <v/>
      </c>
      <c r="W217" s="314" t="str">
        <f t="shared" si="80"/>
        <v/>
      </c>
      <c r="X217" s="314" t="str">
        <f t="shared" si="81"/>
        <v/>
      </c>
      <c r="Y217" s="326" t="str">
        <f t="shared" si="67"/>
        <v/>
      </c>
    </row>
    <row r="218" spans="7:25" x14ac:dyDescent="0.25">
      <c r="G218" s="303">
        <f t="shared" si="64"/>
        <v>0</v>
      </c>
      <c r="H218" s="304">
        <f t="shared" si="68"/>
        <v>211</v>
      </c>
      <c r="I218" s="305" t="str">
        <f t="shared" si="70"/>
        <v/>
      </c>
      <c r="J218" s="305" t="str">
        <f t="shared" si="71"/>
        <v/>
      </c>
      <c r="K218" s="305" t="str">
        <f t="shared" si="72"/>
        <v/>
      </c>
      <c r="L218" s="305" t="str">
        <f t="shared" si="73"/>
        <v/>
      </c>
      <c r="M218" s="314" t="str">
        <f t="shared" si="74"/>
        <v/>
      </c>
      <c r="N218" s="305" t="str">
        <f t="shared" si="75"/>
        <v/>
      </c>
      <c r="O218" s="327" t="e">
        <f t="shared" si="66"/>
        <v>#NUM!</v>
      </c>
      <c r="P218" s="305"/>
      <c r="Q218" s="303">
        <f t="shared" si="65"/>
        <v>0</v>
      </c>
      <c r="R218" s="304">
        <f t="shared" si="69"/>
        <v>-111</v>
      </c>
      <c r="S218" s="305" t="str">
        <f t="shared" si="76"/>
        <v/>
      </c>
      <c r="T218" s="305" t="str">
        <f t="shared" si="77"/>
        <v/>
      </c>
      <c r="U218" s="305" t="str">
        <f t="shared" si="78"/>
        <v/>
      </c>
      <c r="V218" s="305" t="str">
        <f t="shared" si="79"/>
        <v/>
      </c>
      <c r="W218" s="314" t="str">
        <f t="shared" si="80"/>
        <v/>
      </c>
      <c r="X218" s="314" t="str">
        <f t="shared" si="81"/>
        <v/>
      </c>
      <c r="Y218" s="326" t="str">
        <f t="shared" si="67"/>
        <v/>
      </c>
    </row>
    <row r="219" spans="7:25" x14ac:dyDescent="0.25">
      <c r="G219" s="303">
        <f t="shared" si="64"/>
        <v>0</v>
      </c>
      <c r="H219" s="304">
        <f t="shared" si="68"/>
        <v>212</v>
      </c>
      <c r="I219" s="305" t="str">
        <f t="shared" si="70"/>
        <v/>
      </c>
      <c r="J219" s="305" t="str">
        <f t="shared" si="71"/>
        <v/>
      </c>
      <c r="K219" s="305" t="str">
        <f t="shared" si="72"/>
        <v/>
      </c>
      <c r="L219" s="305" t="str">
        <f t="shared" si="73"/>
        <v/>
      </c>
      <c r="M219" s="314" t="str">
        <f t="shared" si="74"/>
        <v/>
      </c>
      <c r="N219" s="305" t="str">
        <f t="shared" si="75"/>
        <v/>
      </c>
      <c r="O219" s="327" t="e">
        <f t="shared" si="66"/>
        <v>#NUM!</v>
      </c>
      <c r="P219" s="305"/>
      <c r="Q219" s="303">
        <f t="shared" si="65"/>
        <v>0</v>
      </c>
      <c r="R219" s="304">
        <f t="shared" si="69"/>
        <v>-112</v>
      </c>
      <c r="S219" s="305" t="str">
        <f t="shared" si="76"/>
        <v/>
      </c>
      <c r="T219" s="305" t="str">
        <f t="shared" si="77"/>
        <v/>
      </c>
      <c r="U219" s="305" t="str">
        <f t="shared" si="78"/>
        <v/>
      </c>
      <c r="V219" s="305" t="str">
        <f t="shared" si="79"/>
        <v/>
      </c>
      <c r="W219" s="314" t="str">
        <f t="shared" si="80"/>
        <v/>
      </c>
      <c r="X219" s="314" t="str">
        <f t="shared" si="81"/>
        <v/>
      </c>
      <c r="Y219" s="326" t="str">
        <f t="shared" si="67"/>
        <v/>
      </c>
    </row>
    <row r="220" spans="7:25" x14ac:dyDescent="0.25">
      <c r="G220" s="303">
        <f t="shared" si="64"/>
        <v>0</v>
      </c>
      <c r="H220" s="304">
        <f t="shared" si="68"/>
        <v>213</v>
      </c>
      <c r="I220" s="305" t="str">
        <f t="shared" si="70"/>
        <v/>
      </c>
      <c r="J220" s="305" t="str">
        <f t="shared" si="71"/>
        <v/>
      </c>
      <c r="K220" s="305" t="str">
        <f t="shared" si="72"/>
        <v/>
      </c>
      <c r="L220" s="305" t="str">
        <f t="shared" si="73"/>
        <v/>
      </c>
      <c r="M220" s="314" t="str">
        <f t="shared" si="74"/>
        <v/>
      </c>
      <c r="N220" s="305" t="str">
        <f t="shared" si="75"/>
        <v/>
      </c>
      <c r="O220" s="327" t="e">
        <f t="shared" si="66"/>
        <v>#NUM!</v>
      </c>
      <c r="P220" s="305"/>
      <c r="Q220" s="303">
        <f t="shared" si="65"/>
        <v>0</v>
      </c>
      <c r="R220" s="304">
        <f t="shared" si="69"/>
        <v>-113</v>
      </c>
      <c r="S220" s="305" t="str">
        <f t="shared" si="76"/>
        <v/>
      </c>
      <c r="T220" s="305" t="str">
        <f t="shared" si="77"/>
        <v/>
      </c>
      <c r="U220" s="305" t="str">
        <f t="shared" si="78"/>
        <v/>
      </c>
      <c r="V220" s="305" t="str">
        <f t="shared" si="79"/>
        <v/>
      </c>
      <c r="W220" s="314" t="str">
        <f t="shared" si="80"/>
        <v/>
      </c>
      <c r="X220" s="314" t="str">
        <f t="shared" si="81"/>
        <v/>
      </c>
      <c r="Y220" s="326" t="str">
        <f t="shared" si="67"/>
        <v/>
      </c>
    </row>
    <row r="221" spans="7:25" x14ac:dyDescent="0.25">
      <c r="G221" s="303">
        <f t="shared" si="64"/>
        <v>0</v>
      </c>
      <c r="H221" s="304">
        <f t="shared" si="68"/>
        <v>214</v>
      </c>
      <c r="I221" s="305" t="str">
        <f t="shared" si="70"/>
        <v/>
      </c>
      <c r="J221" s="305" t="str">
        <f t="shared" si="71"/>
        <v/>
      </c>
      <c r="K221" s="305" t="str">
        <f t="shared" si="72"/>
        <v/>
      </c>
      <c r="L221" s="305" t="str">
        <f t="shared" si="73"/>
        <v/>
      </c>
      <c r="M221" s="314" t="str">
        <f t="shared" si="74"/>
        <v/>
      </c>
      <c r="N221" s="305" t="str">
        <f t="shared" si="75"/>
        <v/>
      </c>
      <c r="O221" s="327" t="e">
        <f t="shared" si="66"/>
        <v>#NUM!</v>
      </c>
      <c r="P221" s="305"/>
      <c r="Q221" s="303">
        <f t="shared" si="65"/>
        <v>0</v>
      </c>
      <c r="R221" s="304">
        <f t="shared" si="69"/>
        <v>-114</v>
      </c>
      <c r="S221" s="305" t="str">
        <f t="shared" si="76"/>
        <v/>
      </c>
      <c r="T221" s="305" t="str">
        <f t="shared" si="77"/>
        <v/>
      </c>
      <c r="U221" s="305" t="str">
        <f t="shared" si="78"/>
        <v/>
      </c>
      <c r="V221" s="305" t="str">
        <f t="shared" si="79"/>
        <v/>
      </c>
      <c r="W221" s="314" t="str">
        <f t="shared" si="80"/>
        <v/>
      </c>
      <c r="X221" s="314" t="str">
        <f t="shared" si="81"/>
        <v/>
      </c>
      <c r="Y221" s="326" t="str">
        <f t="shared" si="67"/>
        <v/>
      </c>
    </row>
    <row r="222" spans="7:25" x14ac:dyDescent="0.25">
      <c r="G222" s="303">
        <f t="shared" si="64"/>
        <v>0</v>
      </c>
      <c r="H222" s="304">
        <f t="shared" si="68"/>
        <v>215</v>
      </c>
      <c r="I222" s="305" t="str">
        <f t="shared" si="70"/>
        <v/>
      </c>
      <c r="J222" s="305" t="str">
        <f t="shared" si="71"/>
        <v/>
      </c>
      <c r="K222" s="305" t="str">
        <f t="shared" si="72"/>
        <v/>
      </c>
      <c r="L222" s="305" t="str">
        <f t="shared" si="73"/>
        <v/>
      </c>
      <c r="M222" s="314" t="str">
        <f t="shared" si="74"/>
        <v/>
      </c>
      <c r="N222" s="305" t="str">
        <f t="shared" si="75"/>
        <v/>
      </c>
      <c r="O222" s="327" t="e">
        <f t="shared" si="66"/>
        <v>#NUM!</v>
      </c>
      <c r="P222" s="305"/>
      <c r="Q222" s="303">
        <f t="shared" si="65"/>
        <v>0</v>
      </c>
      <c r="R222" s="304">
        <f t="shared" si="69"/>
        <v>-115</v>
      </c>
      <c r="S222" s="305" t="str">
        <f t="shared" si="76"/>
        <v/>
      </c>
      <c r="T222" s="305" t="str">
        <f t="shared" si="77"/>
        <v/>
      </c>
      <c r="U222" s="305" t="str">
        <f t="shared" si="78"/>
        <v/>
      </c>
      <c r="V222" s="305" t="str">
        <f t="shared" si="79"/>
        <v/>
      </c>
      <c r="W222" s="314" t="str">
        <f t="shared" si="80"/>
        <v/>
      </c>
      <c r="X222" s="314" t="str">
        <f t="shared" si="81"/>
        <v/>
      </c>
      <c r="Y222" s="326" t="str">
        <f t="shared" si="67"/>
        <v/>
      </c>
    </row>
    <row r="223" spans="7:25" x14ac:dyDescent="0.25">
      <c r="G223" s="303">
        <f t="shared" si="64"/>
        <v>0</v>
      </c>
      <c r="H223" s="304">
        <f t="shared" si="68"/>
        <v>216</v>
      </c>
      <c r="I223" s="305" t="str">
        <f t="shared" si="70"/>
        <v/>
      </c>
      <c r="J223" s="305" t="str">
        <f t="shared" si="71"/>
        <v/>
      </c>
      <c r="K223" s="305" t="str">
        <f t="shared" si="72"/>
        <v/>
      </c>
      <c r="L223" s="305" t="str">
        <f t="shared" si="73"/>
        <v/>
      </c>
      <c r="M223" s="314" t="str">
        <f t="shared" si="74"/>
        <v/>
      </c>
      <c r="N223" s="305" t="str">
        <f t="shared" si="75"/>
        <v/>
      </c>
      <c r="O223" s="327" t="e">
        <f t="shared" si="66"/>
        <v>#NUM!</v>
      </c>
      <c r="P223" s="305"/>
      <c r="Q223" s="303">
        <f t="shared" si="65"/>
        <v>0</v>
      </c>
      <c r="R223" s="304">
        <f t="shared" si="69"/>
        <v>-116</v>
      </c>
      <c r="S223" s="305" t="str">
        <f t="shared" si="76"/>
        <v/>
      </c>
      <c r="T223" s="305" t="str">
        <f t="shared" si="77"/>
        <v/>
      </c>
      <c r="U223" s="305" t="str">
        <f t="shared" si="78"/>
        <v/>
      </c>
      <c r="V223" s="305" t="str">
        <f t="shared" si="79"/>
        <v/>
      </c>
      <c r="W223" s="314" t="str">
        <f t="shared" si="80"/>
        <v/>
      </c>
      <c r="X223" s="314" t="str">
        <f t="shared" si="81"/>
        <v/>
      </c>
      <c r="Y223" s="326" t="str">
        <f t="shared" si="67"/>
        <v/>
      </c>
    </row>
    <row r="224" spans="7:25" x14ac:dyDescent="0.25">
      <c r="G224" s="303">
        <f t="shared" si="64"/>
        <v>0</v>
      </c>
      <c r="H224" s="304">
        <f t="shared" si="68"/>
        <v>217</v>
      </c>
      <c r="I224" s="305" t="str">
        <f t="shared" si="70"/>
        <v/>
      </c>
      <c r="J224" s="305" t="str">
        <f t="shared" si="71"/>
        <v/>
      </c>
      <c r="K224" s="305" t="str">
        <f t="shared" si="72"/>
        <v/>
      </c>
      <c r="L224" s="305" t="str">
        <f t="shared" si="73"/>
        <v/>
      </c>
      <c r="M224" s="314" t="str">
        <f t="shared" si="74"/>
        <v/>
      </c>
      <c r="N224" s="305" t="str">
        <f t="shared" si="75"/>
        <v/>
      </c>
      <c r="O224" s="327" t="e">
        <f t="shared" si="66"/>
        <v>#NUM!</v>
      </c>
      <c r="P224" s="305"/>
      <c r="Q224" s="303">
        <f t="shared" si="65"/>
        <v>0</v>
      </c>
      <c r="R224" s="304">
        <f t="shared" si="69"/>
        <v>-117</v>
      </c>
      <c r="S224" s="305" t="str">
        <f t="shared" si="76"/>
        <v/>
      </c>
      <c r="T224" s="305" t="str">
        <f t="shared" si="77"/>
        <v/>
      </c>
      <c r="U224" s="305" t="str">
        <f t="shared" si="78"/>
        <v/>
      </c>
      <c r="V224" s="305" t="str">
        <f t="shared" si="79"/>
        <v/>
      </c>
      <c r="W224" s="314" t="str">
        <f t="shared" si="80"/>
        <v/>
      </c>
      <c r="X224" s="314" t="str">
        <f t="shared" si="81"/>
        <v/>
      </c>
      <c r="Y224" s="326" t="str">
        <f t="shared" si="67"/>
        <v/>
      </c>
    </row>
    <row r="225" spans="7:25" x14ac:dyDescent="0.25">
      <c r="G225" s="303">
        <f t="shared" si="64"/>
        <v>0</v>
      </c>
      <c r="H225" s="304">
        <f t="shared" si="68"/>
        <v>218</v>
      </c>
      <c r="I225" s="305" t="str">
        <f t="shared" si="70"/>
        <v/>
      </c>
      <c r="J225" s="305" t="str">
        <f t="shared" si="71"/>
        <v/>
      </c>
      <c r="K225" s="305" t="str">
        <f t="shared" si="72"/>
        <v/>
      </c>
      <c r="L225" s="305" t="str">
        <f t="shared" si="73"/>
        <v/>
      </c>
      <c r="M225" s="314" t="str">
        <f t="shared" si="74"/>
        <v/>
      </c>
      <c r="N225" s="305" t="str">
        <f t="shared" si="75"/>
        <v/>
      </c>
      <c r="O225" s="327" t="e">
        <f t="shared" si="66"/>
        <v>#NUM!</v>
      </c>
      <c r="P225" s="305"/>
      <c r="Q225" s="303">
        <f t="shared" si="65"/>
        <v>0</v>
      </c>
      <c r="R225" s="304">
        <f t="shared" si="69"/>
        <v>-118</v>
      </c>
      <c r="S225" s="305" t="str">
        <f t="shared" si="76"/>
        <v/>
      </c>
      <c r="T225" s="305" t="str">
        <f t="shared" si="77"/>
        <v/>
      </c>
      <c r="U225" s="305" t="str">
        <f t="shared" si="78"/>
        <v/>
      </c>
      <c r="V225" s="305" t="str">
        <f t="shared" si="79"/>
        <v/>
      </c>
      <c r="W225" s="314" t="str">
        <f t="shared" si="80"/>
        <v/>
      </c>
      <c r="X225" s="314" t="str">
        <f t="shared" si="81"/>
        <v/>
      </c>
      <c r="Y225" s="326" t="str">
        <f t="shared" si="67"/>
        <v/>
      </c>
    </row>
    <row r="226" spans="7:25" x14ac:dyDescent="0.25">
      <c r="G226" s="303">
        <f t="shared" si="64"/>
        <v>0</v>
      </c>
      <c r="H226" s="304">
        <f t="shared" si="68"/>
        <v>219</v>
      </c>
      <c r="I226" s="305" t="str">
        <f t="shared" si="70"/>
        <v/>
      </c>
      <c r="J226" s="305" t="str">
        <f t="shared" si="71"/>
        <v/>
      </c>
      <c r="K226" s="305" t="str">
        <f t="shared" si="72"/>
        <v/>
      </c>
      <c r="L226" s="305" t="str">
        <f t="shared" si="73"/>
        <v/>
      </c>
      <c r="M226" s="314" t="str">
        <f t="shared" si="74"/>
        <v/>
      </c>
      <c r="N226" s="305" t="str">
        <f t="shared" si="75"/>
        <v/>
      </c>
      <c r="O226" s="327" t="e">
        <f t="shared" si="66"/>
        <v>#NUM!</v>
      </c>
      <c r="P226" s="305"/>
      <c r="Q226" s="303">
        <f t="shared" si="65"/>
        <v>0</v>
      </c>
      <c r="R226" s="304">
        <f t="shared" si="69"/>
        <v>-119</v>
      </c>
      <c r="S226" s="305" t="str">
        <f t="shared" si="76"/>
        <v/>
      </c>
      <c r="T226" s="305" t="str">
        <f t="shared" si="77"/>
        <v/>
      </c>
      <c r="U226" s="305" t="str">
        <f t="shared" si="78"/>
        <v/>
      </c>
      <c r="V226" s="305" t="str">
        <f t="shared" si="79"/>
        <v/>
      </c>
      <c r="W226" s="314" t="str">
        <f t="shared" si="80"/>
        <v/>
      </c>
      <c r="X226" s="314" t="str">
        <f t="shared" si="81"/>
        <v/>
      </c>
      <c r="Y226" s="326" t="str">
        <f t="shared" si="67"/>
        <v/>
      </c>
    </row>
    <row r="227" spans="7:25" x14ac:dyDescent="0.25">
      <c r="G227" s="303">
        <f t="shared" si="64"/>
        <v>0</v>
      </c>
      <c r="H227" s="304">
        <f t="shared" si="68"/>
        <v>220</v>
      </c>
      <c r="I227" s="305" t="str">
        <f t="shared" si="70"/>
        <v/>
      </c>
      <c r="J227" s="305" t="str">
        <f t="shared" si="71"/>
        <v/>
      </c>
      <c r="K227" s="305" t="str">
        <f t="shared" si="72"/>
        <v/>
      </c>
      <c r="L227" s="305" t="str">
        <f t="shared" si="73"/>
        <v/>
      </c>
      <c r="M227" s="314" t="str">
        <f t="shared" si="74"/>
        <v/>
      </c>
      <c r="N227" s="305" t="str">
        <f t="shared" si="75"/>
        <v/>
      </c>
      <c r="O227" s="327" t="e">
        <f t="shared" si="66"/>
        <v>#NUM!</v>
      </c>
      <c r="P227" s="305"/>
      <c r="Q227" s="303">
        <f t="shared" si="65"/>
        <v>0</v>
      </c>
      <c r="R227" s="304">
        <f t="shared" si="69"/>
        <v>-120</v>
      </c>
      <c r="S227" s="305" t="str">
        <f t="shared" si="76"/>
        <v/>
      </c>
      <c r="T227" s="305" t="str">
        <f t="shared" si="77"/>
        <v/>
      </c>
      <c r="U227" s="305" t="str">
        <f t="shared" si="78"/>
        <v/>
      </c>
      <c r="V227" s="305" t="str">
        <f t="shared" si="79"/>
        <v/>
      </c>
      <c r="W227" s="314" t="str">
        <f t="shared" si="80"/>
        <v/>
      </c>
      <c r="X227" s="314" t="str">
        <f t="shared" si="81"/>
        <v/>
      </c>
      <c r="Y227" s="326" t="str">
        <f t="shared" si="67"/>
        <v/>
      </c>
    </row>
    <row r="228" spans="7:25" x14ac:dyDescent="0.25">
      <c r="G228" s="303">
        <f t="shared" si="64"/>
        <v>0</v>
      </c>
      <c r="H228" s="304">
        <f t="shared" si="68"/>
        <v>221</v>
      </c>
      <c r="I228" s="305" t="str">
        <f t="shared" si="70"/>
        <v/>
      </c>
      <c r="J228" s="305" t="str">
        <f t="shared" si="71"/>
        <v/>
      </c>
      <c r="K228" s="305" t="str">
        <f t="shared" si="72"/>
        <v/>
      </c>
      <c r="L228" s="305" t="str">
        <f t="shared" si="73"/>
        <v/>
      </c>
      <c r="M228" s="314" t="str">
        <f t="shared" si="74"/>
        <v/>
      </c>
      <c r="N228" s="305" t="str">
        <f t="shared" si="75"/>
        <v/>
      </c>
      <c r="O228" s="327" t="e">
        <f t="shared" si="66"/>
        <v>#NUM!</v>
      </c>
      <c r="P228" s="305"/>
      <c r="Q228" s="303">
        <f t="shared" si="65"/>
        <v>0</v>
      </c>
      <c r="R228" s="304">
        <f t="shared" si="69"/>
        <v>-121</v>
      </c>
      <c r="S228" s="305" t="str">
        <f t="shared" si="76"/>
        <v/>
      </c>
      <c r="T228" s="305" t="str">
        <f t="shared" si="77"/>
        <v/>
      </c>
      <c r="U228" s="305" t="str">
        <f t="shared" si="78"/>
        <v/>
      </c>
      <c r="V228" s="305" t="str">
        <f t="shared" si="79"/>
        <v/>
      </c>
      <c r="W228" s="314" t="str">
        <f t="shared" si="80"/>
        <v/>
      </c>
      <c r="X228" s="314" t="str">
        <f t="shared" si="81"/>
        <v/>
      </c>
      <c r="Y228" s="326" t="str">
        <f t="shared" si="67"/>
        <v/>
      </c>
    </row>
    <row r="229" spans="7:25" x14ac:dyDescent="0.25">
      <c r="G229" s="303">
        <f t="shared" si="64"/>
        <v>0</v>
      </c>
      <c r="H229" s="304">
        <f t="shared" si="68"/>
        <v>222</v>
      </c>
      <c r="I229" s="305" t="str">
        <f t="shared" si="70"/>
        <v/>
      </c>
      <c r="J229" s="305" t="str">
        <f t="shared" si="71"/>
        <v/>
      </c>
      <c r="K229" s="305" t="str">
        <f t="shared" si="72"/>
        <v/>
      </c>
      <c r="L229" s="305" t="str">
        <f t="shared" si="73"/>
        <v/>
      </c>
      <c r="M229" s="314" t="str">
        <f t="shared" si="74"/>
        <v/>
      </c>
      <c r="N229" s="305" t="str">
        <f t="shared" si="75"/>
        <v/>
      </c>
      <c r="O229" s="327" t="e">
        <f t="shared" si="66"/>
        <v>#NUM!</v>
      </c>
      <c r="P229" s="305"/>
      <c r="Q229" s="303">
        <f t="shared" si="65"/>
        <v>0</v>
      </c>
      <c r="R229" s="304">
        <f t="shared" si="69"/>
        <v>-122</v>
      </c>
      <c r="S229" s="305" t="str">
        <f t="shared" si="76"/>
        <v/>
      </c>
      <c r="T229" s="305" t="str">
        <f t="shared" si="77"/>
        <v/>
      </c>
      <c r="U229" s="305" t="str">
        <f t="shared" si="78"/>
        <v/>
      </c>
      <c r="V229" s="305" t="str">
        <f t="shared" si="79"/>
        <v/>
      </c>
      <c r="W229" s="314" t="str">
        <f t="shared" si="80"/>
        <v/>
      </c>
      <c r="X229" s="314" t="str">
        <f t="shared" si="81"/>
        <v/>
      </c>
      <c r="Y229" s="326" t="str">
        <f t="shared" si="67"/>
        <v/>
      </c>
    </row>
    <row r="230" spans="7:25" x14ac:dyDescent="0.25">
      <c r="G230" s="303">
        <f t="shared" si="64"/>
        <v>0</v>
      </c>
      <c r="H230" s="304">
        <f t="shared" si="68"/>
        <v>223</v>
      </c>
      <c r="I230" s="305" t="str">
        <f t="shared" si="70"/>
        <v/>
      </c>
      <c r="J230" s="305" t="str">
        <f t="shared" si="71"/>
        <v/>
      </c>
      <c r="K230" s="305" t="str">
        <f t="shared" si="72"/>
        <v/>
      </c>
      <c r="L230" s="305" t="str">
        <f t="shared" si="73"/>
        <v/>
      </c>
      <c r="M230" s="314" t="str">
        <f t="shared" si="74"/>
        <v/>
      </c>
      <c r="N230" s="305" t="str">
        <f t="shared" si="75"/>
        <v/>
      </c>
      <c r="O230" s="327" t="e">
        <f t="shared" si="66"/>
        <v>#NUM!</v>
      </c>
      <c r="P230" s="305"/>
      <c r="Q230" s="303">
        <f t="shared" si="65"/>
        <v>0</v>
      </c>
      <c r="R230" s="304">
        <f t="shared" si="69"/>
        <v>-123</v>
      </c>
      <c r="S230" s="305" t="str">
        <f t="shared" si="76"/>
        <v/>
      </c>
      <c r="T230" s="305" t="str">
        <f t="shared" si="77"/>
        <v/>
      </c>
      <c r="U230" s="305" t="str">
        <f t="shared" si="78"/>
        <v/>
      </c>
      <c r="V230" s="305" t="str">
        <f t="shared" si="79"/>
        <v/>
      </c>
      <c r="W230" s="314" t="str">
        <f t="shared" si="80"/>
        <v/>
      </c>
      <c r="X230" s="314" t="str">
        <f t="shared" si="81"/>
        <v/>
      </c>
      <c r="Y230" s="326" t="str">
        <f t="shared" si="67"/>
        <v/>
      </c>
    </row>
    <row r="231" spans="7:25" x14ac:dyDescent="0.25">
      <c r="G231" s="303">
        <f t="shared" si="64"/>
        <v>0</v>
      </c>
      <c r="H231" s="304">
        <f t="shared" si="68"/>
        <v>224</v>
      </c>
      <c r="I231" s="305" t="str">
        <f t="shared" si="70"/>
        <v/>
      </c>
      <c r="J231" s="305" t="str">
        <f t="shared" si="71"/>
        <v/>
      </c>
      <c r="K231" s="305" t="str">
        <f t="shared" si="72"/>
        <v/>
      </c>
      <c r="L231" s="305" t="str">
        <f t="shared" si="73"/>
        <v/>
      </c>
      <c r="M231" s="314" t="str">
        <f t="shared" si="74"/>
        <v/>
      </c>
      <c r="N231" s="305" t="str">
        <f t="shared" si="75"/>
        <v/>
      </c>
      <c r="O231" s="327" t="e">
        <f t="shared" si="66"/>
        <v>#NUM!</v>
      </c>
      <c r="P231" s="305"/>
      <c r="Q231" s="303">
        <f t="shared" si="65"/>
        <v>0</v>
      </c>
      <c r="R231" s="304">
        <f t="shared" si="69"/>
        <v>-124</v>
      </c>
      <c r="S231" s="305" t="str">
        <f t="shared" si="76"/>
        <v/>
      </c>
      <c r="T231" s="305" t="str">
        <f t="shared" si="77"/>
        <v/>
      </c>
      <c r="U231" s="305" t="str">
        <f t="shared" si="78"/>
        <v/>
      </c>
      <c r="V231" s="305" t="str">
        <f t="shared" si="79"/>
        <v/>
      </c>
      <c r="W231" s="314" t="str">
        <f t="shared" si="80"/>
        <v/>
      </c>
      <c r="X231" s="314" t="str">
        <f t="shared" si="81"/>
        <v/>
      </c>
      <c r="Y231" s="326" t="str">
        <f t="shared" si="67"/>
        <v/>
      </c>
    </row>
    <row r="232" spans="7:25" x14ac:dyDescent="0.25">
      <c r="G232" s="303">
        <f t="shared" si="64"/>
        <v>0</v>
      </c>
      <c r="H232" s="304">
        <f t="shared" si="68"/>
        <v>225</v>
      </c>
      <c r="I232" s="305" t="str">
        <f t="shared" si="70"/>
        <v/>
      </c>
      <c r="J232" s="305" t="str">
        <f t="shared" si="71"/>
        <v/>
      </c>
      <c r="K232" s="305" t="str">
        <f t="shared" si="72"/>
        <v/>
      </c>
      <c r="L232" s="305" t="str">
        <f t="shared" si="73"/>
        <v/>
      </c>
      <c r="M232" s="314" t="str">
        <f t="shared" si="74"/>
        <v/>
      </c>
      <c r="N232" s="305" t="str">
        <f t="shared" si="75"/>
        <v/>
      </c>
      <c r="O232" s="327" t="e">
        <f t="shared" si="66"/>
        <v>#NUM!</v>
      </c>
      <c r="P232" s="305"/>
      <c r="Q232" s="303">
        <f t="shared" si="65"/>
        <v>0</v>
      </c>
      <c r="R232" s="304">
        <f t="shared" si="69"/>
        <v>-125</v>
      </c>
      <c r="S232" s="305" t="str">
        <f t="shared" si="76"/>
        <v/>
      </c>
      <c r="T232" s="305" t="str">
        <f t="shared" si="77"/>
        <v/>
      </c>
      <c r="U232" s="305" t="str">
        <f t="shared" si="78"/>
        <v/>
      </c>
      <c r="V232" s="305" t="str">
        <f t="shared" si="79"/>
        <v/>
      </c>
      <c r="W232" s="314" t="str">
        <f t="shared" si="80"/>
        <v/>
      </c>
      <c r="X232" s="314" t="str">
        <f t="shared" si="81"/>
        <v/>
      </c>
      <c r="Y232" s="326" t="str">
        <f t="shared" si="67"/>
        <v/>
      </c>
    </row>
    <row r="233" spans="7:25" x14ac:dyDescent="0.25">
      <c r="G233" s="303">
        <f t="shared" si="64"/>
        <v>0</v>
      </c>
      <c r="H233" s="304">
        <f t="shared" si="68"/>
        <v>226</v>
      </c>
      <c r="I233" s="305" t="str">
        <f t="shared" si="70"/>
        <v/>
      </c>
      <c r="J233" s="305" t="str">
        <f t="shared" si="71"/>
        <v/>
      </c>
      <c r="K233" s="305" t="str">
        <f t="shared" si="72"/>
        <v/>
      </c>
      <c r="L233" s="305" t="str">
        <f t="shared" si="73"/>
        <v/>
      </c>
      <c r="M233" s="314" t="str">
        <f t="shared" si="74"/>
        <v/>
      </c>
      <c r="N233" s="305" t="str">
        <f t="shared" si="75"/>
        <v/>
      </c>
      <c r="O233" s="327" t="e">
        <f t="shared" si="66"/>
        <v>#NUM!</v>
      </c>
      <c r="P233" s="305"/>
      <c r="Q233" s="303">
        <f t="shared" si="65"/>
        <v>0</v>
      </c>
      <c r="R233" s="304">
        <f t="shared" si="69"/>
        <v>-126</v>
      </c>
      <c r="S233" s="305" t="str">
        <f t="shared" si="76"/>
        <v/>
      </c>
      <c r="T233" s="305" t="str">
        <f t="shared" si="77"/>
        <v/>
      </c>
      <c r="U233" s="305" t="str">
        <f t="shared" si="78"/>
        <v/>
      </c>
      <c r="V233" s="305" t="str">
        <f t="shared" si="79"/>
        <v/>
      </c>
      <c r="W233" s="314" t="str">
        <f t="shared" si="80"/>
        <v/>
      </c>
      <c r="X233" s="314" t="str">
        <f t="shared" si="81"/>
        <v/>
      </c>
      <c r="Y233" s="326" t="str">
        <f t="shared" si="67"/>
        <v/>
      </c>
    </row>
    <row r="234" spans="7:25" x14ac:dyDescent="0.25">
      <c r="G234" s="303">
        <f t="shared" si="64"/>
        <v>0</v>
      </c>
      <c r="H234" s="304">
        <f t="shared" si="68"/>
        <v>227</v>
      </c>
      <c r="I234" s="305" t="str">
        <f t="shared" si="70"/>
        <v/>
      </c>
      <c r="J234" s="305" t="str">
        <f t="shared" si="71"/>
        <v/>
      </c>
      <c r="K234" s="305" t="str">
        <f t="shared" si="72"/>
        <v/>
      </c>
      <c r="L234" s="305" t="str">
        <f t="shared" si="73"/>
        <v/>
      </c>
      <c r="M234" s="314" t="str">
        <f t="shared" si="74"/>
        <v/>
      </c>
      <c r="N234" s="305" t="str">
        <f t="shared" si="75"/>
        <v/>
      </c>
      <c r="O234" s="327" t="e">
        <f t="shared" si="66"/>
        <v>#NUM!</v>
      </c>
      <c r="P234" s="305"/>
      <c r="Q234" s="303">
        <f t="shared" si="65"/>
        <v>0</v>
      </c>
      <c r="R234" s="304">
        <f t="shared" si="69"/>
        <v>-127</v>
      </c>
      <c r="S234" s="305" t="str">
        <f t="shared" si="76"/>
        <v/>
      </c>
      <c r="T234" s="305" t="str">
        <f t="shared" si="77"/>
        <v/>
      </c>
      <c r="U234" s="305" t="str">
        <f t="shared" si="78"/>
        <v/>
      </c>
      <c r="V234" s="305" t="str">
        <f t="shared" si="79"/>
        <v/>
      </c>
      <c r="W234" s="314" t="str">
        <f t="shared" si="80"/>
        <v/>
      </c>
      <c r="X234" s="314" t="str">
        <f t="shared" si="81"/>
        <v/>
      </c>
      <c r="Y234" s="326" t="str">
        <f t="shared" si="67"/>
        <v/>
      </c>
    </row>
    <row r="235" spans="7:25" x14ac:dyDescent="0.25">
      <c r="G235" s="303">
        <f t="shared" si="64"/>
        <v>0</v>
      </c>
      <c r="H235" s="304">
        <f t="shared" si="68"/>
        <v>228</v>
      </c>
      <c r="I235" s="305" t="str">
        <f t="shared" si="70"/>
        <v/>
      </c>
      <c r="J235" s="305" t="str">
        <f t="shared" si="71"/>
        <v/>
      </c>
      <c r="K235" s="305" t="str">
        <f t="shared" si="72"/>
        <v/>
      </c>
      <c r="L235" s="305" t="str">
        <f t="shared" si="73"/>
        <v/>
      </c>
      <c r="M235" s="314" t="str">
        <f t="shared" si="74"/>
        <v/>
      </c>
      <c r="N235" s="305" t="str">
        <f t="shared" si="75"/>
        <v/>
      </c>
      <c r="O235" s="327" t="e">
        <f t="shared" si="66"/>
        <v>#NUM!</v>
      </c>
      <c r="P235" s="305"/>
      <c r="Q235" s="303">
        <f t="shared" si="65"/>
        <v>0</v>
      </c>
      <c r="R235" s="304">
        <f t="shared" si="69"/>
        <v>-128</v>
      </c>
      <c r="S235" s="305" t="str">
        <f t="shared" si="76"/>
        <v/>
      </c>
      <c r="T235" s="305" t="str">
        <f t="shared" si="77"/>
        <v/>
      </c>
      <c r="U235" s="305" t="str">
        <f t="shared" si="78"/>
        <v/>
      </c>
      <c r="V235" s="305" t="str">
        <f t="shared" si="79"/>
        <v/>
      </c>
      <c r="W235" s="314" t="str">
        <f t="shared" si="80"/>
        <v/>
      </c>
      <c r="X235" s="314" t="str">
        <f t="shared" si="81"/>
        <v/>
      </c>
      <c r="Y235" s="326" t="str">
        <f t="shared" si="67"/>
        <v/>
      </c>
    </row>
    <row r="236" spans="7:25" x14ac:dyDescent="0.25">
      <c r="G236" s="303">
        <f t="shared" si="64"/>
        <v>0</v>
      </c>
      <c r="H236" s="304">
        <f t="shared" si="68"/>
        <v>229</v>
      </c>
      <c r="I236" s="305" t="str">
        <f t="shared" si="70"/>
        <v/>
      </c>
      <c r="J236" s="305" t="str">
        <f t="shared" si="71"/>
        <v/>
      </c>
      <c r="K236" s="305" t="str">
        <f t="shared" si="72"/>
        <v/>
      </c>
      <c r="L236" s="305" t="str">
        <f t="shared" si="73"/>
        <v/>
      </c>
      <c r="M236" s="314" t="str">
        <f t="shared" si="74"/>
        <v/>
      </c>
      <c r="N236" s="305" t="str">
        <f t="shared" si="75"/>
        <v/>
      </c>
      <c r="O236" s="327" t="e">
        <f t="shared" si="66"/>
        <v>#NUM!</v>
      </c>
      <c r="P236" s="305"/>
      <c r="Q236" s="303">
        <f t="shared" si="65"/>
        <v>0</v>
      </c>
      <c r="R236" s="304">
        <f t="shared" si="69"/>
        <v>-129</v>
      </c>
      <c r="S236" s="305" t="str">
        <f t="shared" si="76"/>
        <v/>
      </c>
      <c r="T236" s="305" t="str">
        <f t="shared" si="77"/>
        <v/>
      </c>
      <c r="U236" s="305" t="str">
        <f t="shared" si="78"/>
        <v/>
      </c>
      <c r="V236" s="305" t="str">
        <f t="shared" si="79"/>
        <v/>
      </c>
      <c r="W236" s="314" t="str">
        <f t="shared" si="80"/>
        <v/>
      </c>
      <c r="X236" s="314" t="str">
        <f t="shared" si="81"/>
        <v/>
      </c>
      <c r="Y236" s="326" t="str">
        <f t="shared" si="67"/>
        <v/>
      </c>
    </row>
    <row r="237" spans="7:25" x14ac:dyDescent="0.25">
      <c r="G237" s="303">
        <f t="shared" si="64"/>
        <v>0</v>
      </c>
      <c r="H237" s="304">
        <f t="shared" si="68"/>
        <v>230</v>
      </c>
      <c r="I237" s="305" t="str">
        <f t="shared" si="70"/>
        <v/>
      </c>
      <c r="J237" s="305" t="str">
        <f t="shared" si="71"/>
        <v/>
      </c>
      <c r="K237" s="305" t="str">
        <f t="shared" si="72"/>
        <v/>
      </c>
      <c r="L237" s="305" t="str">
        <f t="shared" si="73"/>
        <v/>
      </c>
      <c r="M237" s="314" t="str">
        <f t="shared" si="74"/>
        <v/>
      </c>
      <c r="N237" s="305" t="str">
        <f t="shared" si="75"/>
        <v/>
      </c>
      <c r="O237" s="327" t="e">
        <f t="shared" si="66"/>
        <v>#NUM!</v>
      </c>
      <c r="P237" s="305"/>
      <c r="Q237" s="303">
        <f t="shared" si="65"/>
        <v>0</v>
      </c>
      <c r="R237" s="304">
        <f t="shared" si="69"/>
        <v>-130</v>
      </c>
      <c r="S237" s="305" t="str">
        <f t="shared" si="76"/>
        <v/>
      </c>
      <c r="T237" s="305" t="str">
        <f t="shared" si="77"/>
        <v/>
      </c>
      <c r="U237" s="305" t="str">
        <f t="shared" si="78"/>
        <v/>
      </c>
      <c r="V237" s="305" t="str">
        <f t="shared" si="79"/>
        <v/>
      </c>
      <c r="W237" s="314" t="str">
        <f t="shared" si="80"/>
        <v/>
      </c>
      <c r="X237" s="314" t="str">
        <f t="shared" si="81"/>
        <v/>
      </c>
      <c r="Y237" s="326" t="str">
        <f t="shared" si="67"/>
        <v/>
      </c>
    </row>
    <row r="238" spans="7:25" x14ac:dyDescent="0.25">
      <c r="G238" s="303">
        <f t="shared" si="64"/>
        <v>0</v>
      </c>
      <c r="H238" s="304">
        <f t="shared" si="68"/>
        <v>231</v>
      </c>
      <c r="I238" s="305" t="str">
        <f t="shared" si="70"/>
        <v/>
      </c>
      <c r="J238" s="305" t="str">
        <f t="shared" si="71"/>
        <v/>
      </c>
      <c r="K238" s="305" t="str">
        <f t="shared" si="72"/>
        <v/>
      </c>
      <c r="L238" s="305" t="str">
        <f t="shared" si="73"/>
        <v/>
      </c>
      <c r="M238" s="314" t="str">
        <f t="shared" si="74"/>
        <v/>
      </c>
      <c r="N238" s="305" t="str">
        <f t="shared" si="75"/>
        <v/>
      </c>
      <c r="O238" s="327" t="e">
        <f t="shared" si="66"/>
        <v>#NUM!</v>
      </c>
      <c r="P238" s="305"/>
      <c r="Q238" s="303">
        <f t="shared" si="65"/>
        <v>0</v>
      </c>
      <c r="R238" s="304">
        <f t="shared" si="69"/>
        <v>-131</v>
      </c>
      <c r="S238" s="305" t="str">
        <f t="shared" si="76"/>
        <v/>
      </c>
      <c r="T238" s="305" t="str">
        <f t="shared" si="77"/>
        <v/>
      </c>
      <c r="U238" s="305" t="str">
        <f t="shared" si="78"/>
        <v/>
      </c>
      <c r="V238" s="305" t="str">
        <f t="shared" si="79"/>
        <v/>
      </c>
      <c r="W238" s="314" t="str">
        <f t="shared" si="80"/>
        <v/>
      </c>
      <c r="X238" s="314" t="str">
        <f t="shared" si="81"/>
        <v/>
      </c>
      <c r="Y238" s="326" t="str">
        <f t="shared" si="67"/>
        <v/>
      </c>
    </row>
    <row r="239" spans="7:25" x14ac:dyDescent="0.25">
      <c r="G239" s="303">
        <f t="shared" si="64"/>
        <v>0</v>
      </c>
      <c r="H239" s="304">
        <f t="shared" si="68"/>
        <v>232</v>
      </c>
      <c r="I239" s="305" t="str">
        <f t="shared" si="70"/>
        <v/>
      </c>
      <c r="J239" s="305" t="str">
        <f t="shared" si="71"/>
        <v/>
      </c>
      <c r="K239" s="305" t="str">
        <f t="shared" si="72"/>
        <v/>
      </c>
      <c r="L239" s="305" t="str">
        <f t="shared" si="73"/>
        <v/>
      </c>
      <c r="M239" s="314" t="str">
        <f t="shared" si="74"/>
        <v/>
      </c>
      <c r="N239" s="305" t="str">
        <f t="shared" si="75"/>
        <v/>
      </c>
      <c r="O239" s="327" t="e">
        <f t="shared" si="66"/>
        <v>#NUM!</v>
      </c>
      <c r="P239" s="305"/>
      <c r="Q239" s="303">
        <f t="shared" si="65"/>
        <v>0</v>
      </c>
      <c r="R239" s="304">
        <f t="shared" si="69"/>
        <v>-132</v>
      </c>
      <c r="S239" s="305" t="str">
        <f t="shared" si="76"/>
        <v/>
      </c>
      <c r="T239" s="305" t="str">
        <f t="shared" si="77"/>
        <v/>
      </c>
      <c r="U239" s="305" t="str">
        <f t="shared" si="78"/>
        <v/>
      </c>
      <c r="V239" s="305" t="str">
        <f t="shared" si="79"/>
        <v/>
      </c>
      <c r="W239" s="314" t="str">
        <f t="shared" si="80"/>
        <v/>
      </c>
      <c r="X239" s="314" t="str">
        <f t="shared" si="81"/>
        <v/>
      </c>
      <c r="Y239" s="326" t="str">
        <f t="shared" si="67"/>
        <v/>
      </c>
    </row>
    <row r="240" spans="7:25" x14ac:dyDescent="0.25">
      <c r="G240" s="303">
        <f t="shared" si="64"/>
        <v>0</v>
      </c>
      <c r="H240" s="304">
        <f t="shared" si="68"/>
        <v>233</v>
      </c>
      <c r="I240" s="305" t="str">
        <f t="shared" si="70"/>
        <v/>
      </c>
      <c r="J240" s="305" t="str">
        <f t="shared" si="71"/>
        <v/>
      </c>
      <c r="K240" s="305" t="str">
        <f t="shared" si="72"/>
        <v/>
      </c>
      <c r="L240" s="305" t="str">
        <f t="shared" si="73"/>
        <v/>
      </c>
      <c r="M240" s="314" t="str">
        <f t="shared" si="74"/>
        <v/>
      </c>
      <c r="N240" s="305" t="str">
        <f t="shared" si="75"/>
        <v/>
      </c>
      <c r="O240" s="327" t="e">
        <f t="shared" si="66"/>
        <v>#NUM!</v>
      </c>
      <c r="P240" s="305"/>
      <c r="Q240" s="303">
        <f t="shared" si="65"/>
        <v>0</v>
      </c>
      <c r="R240" s="304">
        <f t="shared" si="69"/>
        <v>-133</v>
      </c>
      <c r="S240" s="305" t="str">
        <f t="shared" si="76"/>
        <v/>
      </c>
      <c r="T240" s="305" t="str">
        <f t="shared" si="77"/>
        <v/>
      </c>
      <c r="U240" s="305" t="str">
        <f t="shared" si="78"/>
        <v/>
      </c>
      <c r="V240" s="305" t="str">
        <f t="shared" si="79"/>
        <v/>
      </c>
      <c r="W240" s="314" t="str">
        <f t="shared" si="80"/>
        <v/>
      </c>
      <c r="X240" s="314" t="str">
        <f t="shared" si="81"/>
        <v/>
      </c>
      <c r="Y240" s="326" t="str">
        <f t="shared" si="67"/>
        <v/>
      </c>
    </row>
    <row r="241" spans="7:25" x14ac:dyDescent="0.25">
      <c r="G241" s="303">
        <f t="shared" si="64"/>
        <v>0</v>
      </c>
      <c r="H241" s="304">
        <f t="shared" si="68"/>
        <v>234</v>
      </c>
      <c r="I241" s="305" t="str">
        <f t="shared" si="70"/>
        <v/>
      </c>
      <c r="J241" s="305" t="str">
        <f t="shared" si="71"/>
        <v/>
      </c>
      <c r="K241" s="305" t="str">
        <f t="shared" si="72"/>
        <v/>
      </c>
      <c r="L241" s="305" t="str">
        <f t="shared" si="73"/>
        <v/>
      </c>
      <c r="M241" s="314" t="str">
        <f t="shared" si="74"/>
        <v/>
      </c>
      <c r="N241" s="305" t="str">
        <f t="shared" si="75"/>
        <v/>
      </c>
      <c r="O241" s="327" t="e">
        <f t="shared" si="66"/>
        <v>#NUM!</v>
      </c>
      <c r="P241" s="305"/>
      <c r="Q241" s="303">
        <f t="shared" si="65"/>
        <v>0</v>
      </c>
      <c r="R241" s="304">
        <f t="shared" si="69"/>
        <v>-134</v>
      </c>
      <c r="S241" s="305" t="str">
        <f t="shared" si="76"/>
        <v/>
      </c>
      <c r="T241" s="305" t="str">
        <f t="shared" si="77"/>
        <v/>
      </c>
      <c r="U241" s="305" t="str">
        <f t="shared" si="78"/>
        <v/>
      </c>
      <c r="V241" s="305" t="str">
        <f t="shared" si="79"/>
        <v/>
      </c>
      <c r="W241" s="314" t="str">
        <f t="shared" si="80"/>
        <v/>
      </c>
      <c r="X241" s="314" t="str">
        <f t="shared" si="81"/>
        <v/>
      </c>
      <c r="Y241" s="326" t="str">
        <f t="shared" si="67"/>
        <v/>
      </c>
    </row>
    <row r="242" spans="7:25" x14ac:dyDescent="0.25">
      <c r="G242" s="303">
        <f t="shared" si="64"/>
        <v>0</v>
      </c>
      <c r="H242" s="304">
        <f t="shared" si="68"/>
        <v>235</v>
      </c>
      <c r="I242" s="305" t="str">
        <f t="shared" si="70"/>
        <v/>
      </c>
      <c r="J242" s="305" t="str">
        <f t="shared" si="71"/>
        <v/>
      </c>
      <c r="K242" s="305" t="str">
        <f t="shared" si="72"/>
        <v/>
      </c>
      <c r="L242" s="305" t="str">
        <f t="shared" si="73"/>
        <v/>
      </c>
      <c r="M242" s="314" t="str">
        <f t="shared" si="74"/>
        <v/>
      </c>
      <c r="N242" s="305" t="str">
        <f t="shared" si="75"/>
        <v/>
      </c>
      <c r="O242" s="327" t="e">
        <f t="shared" si="66"/>
        <v>#NUM!</v>
      </c>
      <c r="P242" s="305"/>
      <c r="Q242" s="303">
        <f t="shared" si="65"/>
        <v>0</v>
      </c>
      <c r="R242" s="304">
        <f t="shared" si="69"/>
        <v>-135</v>
      </c>
      <c r="S242" s="305" t="str">
        <f t="shared" si="76"/>
        <v/>
      </c>
      <c r="T242" s="305" t="str">
        <f t="shared" si="77"/>
        <v/>
      </c>
      <c r="U242" s="305" t="str">
        <f t="shared" si="78"/>
        <v/>
      </c>
      <c r="V242" s="305" t="str">
        <f t="shared" si="79"/>
        <v/>
      </c>
      <c r="W242" s="314" t="str">
        <f t="shared" si="80"/>
        <v/>
      </c>
      <c r="X242" s="314" t="str">
        <f t="shared" si="81"/>
        <v/>
      </c>
      <c r="Y242" s="326" t="str">
        <f t="shared" si="67"/>
        <v/>
      </c>
    </row>
    <row r="243" spans="7:25" x14ac:dyDescent="0.25">
      <c r="G243" s="303">
        <f t="shared" si="64"/>
        <v>0</v>
      </c>
      <c r="H243" s="304">
        <f t="shared" si="68"/>
        <v>236</v>
      </c>
      <c r="I243" s="305" t="str">
        <f t="shared" si="70"/>
        <v/>
      </c>
      <c r="J243" s="305" t="str">
        <f t="shared" si="71"/>
        <v/>
      </c>
      <c r="K243" s="305" t="str">
        <f t="shared" si="72"/>
        <v/>
      </c>
      <c r="L243" s="305" t="str">
        <f t="shared" si="73"/>
        <v/>
      </c>
      <c r="M243" s="314" t="str">
        <f t="shared" si="74"/>
        <v/>
      </c>
      <c r="N243" s="305" t="str">
        <f t="shared" si="75"/>
        <v/>
      </c>
      <c r="O243" s="327" t="e">
        <f t="shared" si="66"/>
        <v>#NUM!</v>
      </c>
      <c r="P243" s="305"/>
      <c r="Q243" s="303">
        <f t="shared" si="65"/>
        <v>0</v>
      </c>
      <c r="R243" s="304">
        <f t="shared" si="69"/>
        <v>-136</v>
      </c>
      <c r="S243" s="305" t="str">
        <f t="shared" si="76"/>
        <v/>
      </c>
      <c r="T243" s="305" t="str">
        <f t="shared" si="77"/>
        <v/>
      </c>
      <c r="U243" s="305" t="str">
        <f t="shared" si="78"/>
        <v/>
      </c>
      <c r="V243" s="305" t="str">
        <f t="shared" si="79"/>
        <v/>
      </c>
      <c r="W243" s="314" t="str">
        <f t="shared" si="80"/>
        <v/>
      </c>
      <c r="X243" s="314" t="str">
        <f t="shared" si="81"/>
        <v/>
      </c>
      <c r="Y243" s="326" t="str">
        <f t="shared" si="67"/>
        <v/>
      </c>
    </row>
    <row r="244" spans="7:25" x14ac:dyDescent="0.25">
      <c r="G244" s="303">
        <f t="shared" si="64"/>
        <v>0</v>
      </c>
      <c r="H244" s="304">
        <f t="shared" si="68"/>
        <v>237</v>
      </c>
      <c r="I244" s="305" t="str">
        <f t="shared" si="70"/>
        <v/>
      </c>
      <c r="J244" s="305" t="str">
        <f t="shared" si="71"/>
        <v/>
      </c>
      <c r="K244" s="305" t="str">
        <f t="shared" si="72"/>
        <v/>
      </c>
      <c r="L244" s="305" t="str">
        <f t="shared" si="73"/>
        <v/>
      </c>
      <c r="M244" s="314" t="str">
        <f t="shared" si="74"/>
        <v/>
      </c>
      <c r="N244" s="305" t="str">
        <f t="shared" si="75"/>
        <v/>
      </c>
      <c r="O244" s="327" t="e">
        <f t="shared" si="66"/>
        <v>#NUM!</v>
      </c>
      <c r="P244" s="305"/>
      <c r="Q244" s="303">
        <f t="shared" si="65"/>
        <v>0</v>
      </c>
      <c r="R244" s="304">
        <f t="shared" si="69"/>
        <v>-137</v>
      </c>
      <c r="S244" s="305" t="str">
        <f t="shared" si="76"/>
        <v/>
      </c>
      <c r="T244" s="305" t="str">
        <f t="shared" si="77"/>
        <v/>
      </c>
      <c r="U244" s="305" t="str">
        <f t="shared" si="78"/>
        <v/>
      </c>
      <c r="V244" s="305" t="str">
        <f t="shared" si="79"/>
        <v/>
      </c>
      <c r="W244" s="314" t="str">
        <f t="shared" si="80"/>
        <v/>
      </c>
      <c r="X244" s="314" t="str">
        <f t="shared" si="81"/>
        <v/>
      </c>
      <c r="Y244" s="326" t="str">
        <f t="shared" si="67"/>
        <v/>
      </c>
    </row>
    <row r="245" spans="7:25" x14ac:dyDescent="0.25">
      <c r="G245" s="303">
        <f t="shared" si="64"/>
        <v>0</v>
      </c>
      <c r="H245" s="304">
        <f t="shared" si="68"/>
        <v>238</v>
      </c>
      <c r="I245" s="305" t="str">
        <f t="shared" si="70"/>
        <v/>
      </c>
      <c r="J245" s="305" t="str">
        <f t="shared" si="71"/>
        <v/>
      </c>
      <c r="K245" s="305" t="str">
        <f t="shared" si="72"/>
        <v/>
      </c>
      <c r="L245" s="305" t="str">
        <f t="shared" si="73"/>
        <v/>
      </c>
      <c r="M245" s="314" t="str">
        <f t="shared" si="74"/>
        <v/>
      </c>
      <c r="N245" s="305" t="str">
        <f t="shared" si="75"/>
        <v/>
      </c>
      <c r="O245" s="327" t="e">
        <f t="shared" si="66"/>
        <v>#NUM!</v>
      </c>
      <c r="P245" s="305"/>
      <c r="Q245" s="303">
        <f t="shared" si="65"/>
        <v>0</v>
      </c>
      <c r="R245" s="304">
        <f t="shared" si="69"/>
        <v>-138</v>
      </c>
      <c r="S245" s="305" t="str">
        <f t="shared" si="76"/>
        <v/>
      </c>
      <c r="T245" s="305" t="str">
        <f t="shared" si="77"/>
        <v/>
      </c>
      <c r="U245" s="305" t="str">
        <f t="shared" si="78"/>
        <v/>
      </c>
      <c r="V245" s="305" t="str">
        <f t="shared" si="79"/>
        <v/>
      </c>
      <c r="W245" s="314" t="str">
        <f t="shared" si="80"/>
        <v/>
      </c>
      <c r="X245" s="314" t="str">
        <f t="shared" si="81"/>
        <v/>
      </c>
      <c r="Y245" s="326" t="str">
        <f t="shared" si="67"/>
        <v/>
      </c>
    </row>
    <row r="246" spans="7:25" x14ac:dyDescent="0.25">
      <c r="G246" s="303">
        <f t="shared" si="64"/>
        <v>0</v>
      </c>
      <c r="H246" s="304">
        <f t="shared" si="68"/>
        <v>239</v>
      </c>
      <c r="I246" s="305" t="str">
        <f t="shared" si="70"/>
        <v/>
      </c>
      <c r="J246" s="305" t="str">
        <f t="shared" si="71"/>
        <v/>
      </c>
      <c r="K246" s="305" t="str">
        <f t="shared" si="72"/>
        <v/>
      </c>
      <c r="L246" s="305" t="str">
        <f t="shared" si="73"/>
        <v/>
      </c>
      <c r="M246" s="314" t="str">
        <f t="shared" si="74"/>
        <v/>
      </c>
      <c r="N246" s="305" t="str">
        <f t="shared" si="75"/>
        <v/>
      </c>
      <c r="O246" s="327" t="e">
        <f t="shared" si="66"/>
        <v>#NUM!</v>
      </c>
      <c r="P246" s="305"/>
      <c r="Q246" s="303">
        <f t="shared" si="65"/>
        <v>0</v>
      </c>
      <c r="R246" s="304">
        <f t="shared" si="69"/>
        <v>-139</v>
      </c>
      <c r="S246" s="305" t="str">
        <f t="shared" si="76"/>
        <v/>
      </c>
      <c r="T246" s="305" t="str">
        <f t="shared" si="77"/>
        <v/>
      </c>
      <c r="U246" s="305" t="str">
        <f t="shared" si="78"/>
        <v/>
      </c>
      <c r="V246" s="305" t="str">
        <f t="shared" si="79"/>
        <v/>
      </c>
      <c r="W246" s="314" t="str">
        <f t="shared" si="80"/>
        <v/>
      </c>
      <c r="X246" s="314" t="str">
        <f t="shared" si="81"/>
        <v/>
      </c>
      <c r="Y246" s="326" t="str">
        <f t="shared" si="67"/>
        <v/>
      </c>
    </row>
    <row r="247" spans="7:25" x14ac:dyDescent="0.25">
      <c r="G247" s="303">
        <f t="shared" si="64"/>
        <v>0</v>
      </c>
      <c r="H247" s="304">
        <f t="shared" si="68"/>
        <v>240</v>
      </c>
      <c r="I247" s="305" t="str">
        <f t="shared" si="70"/>
        <v/>
      </c>
      <c r="J247" s="305" t="str">
        <f t="shared" si="71"/>
        <v/>
      </c>
      <c r="K247" s="305" t="str">
        <f t="shared" si="72"/>
        <v/>
      </c>
      <c r="L247" s="305" t="str">
        <f t="shared" si="73"/>
        <v/>
      </c>
      <c r="M247" s="314" t="str">
        <f t="shared" si="74"/>
        <v/>
      </c>
      <c r="N247" s="305" t="str">
        <f t="shared" si="75"/>
        <v/>
      </c>
      <c r="O247" s="327" t="e">
        <f t="shared" si="66"/>
        <v>#NUM!</v>
      </c>
      <c r="P247" s="305"/>
      <c r="Q247" s="303">
        <f t="shared" si="65"/>
        <v>0</v>
      </c>
      <c r="R247" s="304">
        <f t="shared" si="69"/>
        <v>-140</v>
      </c>
      <c r="S247" s="305" t="str">
        <f t="shared" si="76"/>
        <v/>
      </c>
      <c r="T247" s="305" t="str">
        <f t="shared" si="77"/>
        <v/>
      </c>
      <c r="U247" s="305" t="str">
        <f t="shared" si="78"/>
        <v/>
      </c>
      <c r="V247" s="305" t="str">
        <f t="shared" si="79"/>
        <v/>
      </c>
      <c r="W247" s="314" t="str">
        <f t="shared" si="80"/>
        <v/>
      </c>
      <c r="X247" s="314" t="str">
        <f t="shared" si="81"/>
        <v/>
      </c>
      <c r="Y247" s="326" t="str">
        <f t="shared" si="67"/>
        <v/>
      </c>
    </row>
    <row r="248" spans="7:25" x14ac:dyDescent="0.25">
      <c r="G248" s="303">
        <f t="shared" si="64"/>
        <v>0</v>
      </c>
      <c r="H248" s="304">
        <f t="shared" si="68"/>
        <v>241</v>
      </c>
      <c r="I248" s="305" t="str">
        <f t="shared" si="70"/>
        <v/>
      </c>
      <c r="J248" s="305" t="str">
        <f t="shared" si="71"/>
        <v/>
      </c>
      <c r="K248" s="305" t="str">
        <f t="shared" si="72"/>
        <v/>
      </c>
      <c r="L248" s="305" t="str">
        <f t="shared" si="73"/>
        <v/>
      </c>
      <c r="M248" s="314" t="str">
        <f t="shared" si="74"/>
        <v/>
      </c>
      <c r="N248" s="305" t="str">
        <f t="shared" si="75"/>
        <v/>
      </c>
      <c r="O248" s="327" t="e">
        <f t="shared" si="66"/>
        <v>#NUM!</v>
      </c>
      <c r="P248" s="305"/>
      <c r="Q248" s="303">
        <f t="shared" si="65"/>
        <v>0</v>
      </c>
      <c r="R248" s="304">
        <f t="shared" si="69"/>
        <v>-141</v>
      </c>
      <c r="S248" s="305" t="str">
        <f t="shared" si="76"/>
        <v/>
      </c>
      <c r="T248" s="305" t="str">
        <f t="shared" si="77"/>
        <v/>
      </c>
      <c r="U248" s="305" t="str">
        <f t="shared" si="78"/>
        <v/>
      </c>
      <c r="V248" s="305" t="str">
        <f t="shared" si="79"/>
        <v/>
      </c>
      <c r="W248" s="314" t="str">
        <f t="shared" si="80"/>
        <v/>
      </c>
      <c r="X248" s="314" t="str">
        <f t="shared" si="81"/>
        <v/>
      </c>
      <c r="Y248" s="326" t="str">
        <f t="shared" si="67"/>
        <v/>
      </c>
    </row>
    <row r="249" spans="7:25" x14ac:dyDescent="0.25">
      <c r="G249" s="303">
        <f t="shared" si="64"/>
        <v>0</v>
      </c>
      <c r="H249" s="304">
        <f t="shared" si="68"/>
        <v>242</v>
      </c>
      <c r="I249" s="305" t="str">
        <f t="shared" si="70"/>
        <v/>
      </c>
      <c r="J249" s="305" t="str">
        <f t="shared" si="71"/>
        <v/>
      </c>
      <c r="K249" s="305" t="str">
        <f t="shared" si="72"/>
        <v/>
      </c>
      <c r="L249" s="305" t="str">
        <f t="shared" si="73"/>
        <v/>
      </c>
      <c r="M249" s="314" t="str">
        <f t="shared" si="74"/>
        <v/>
      </c>
      <c r="N249" s="305" t="str">
        <f t="shared" si="75"/>
        <v/>
      </c>
      <c r="O249" s="327" t="e">
        <f t="shared" si="66"/>
        <v>#NUM!</v>
      </c>
      <c r="P249" s="305"/>
      <c r="Q249" s="303">
        <f t="shared" si="65"/>
        <v>0</v>
      </c>
      <c r="R249" s="304">
        <f t="shared" si="69"/>
        <v>-142</v>
      </c>
      <c r="S249" s="305" t="str">
        <f t="shared" si="76"/>
        <v/>
      </c>
      <c r="T249" s="305" t="str">
        <f t="shared" si="77"/>
        <v/>
      </c>
      <c r="U249" s="305" t="str">
        <f t="shared" si="78"/>
        <v/>
      </c>
      <c r="V249" s="305" t="str">
        <f t="shared" si="79"/>
        <v/>
      </c>
      <c r="W249" s="314" t="str">
        <f t="shared" si="80"/>
        <v/>
      </c>
      <c r="X249" s="314" t="str">
        <f t="shared" si="81"/>
        <v/>
      </c>
      <c r="Y249" s="326" t="str">
        <f t="shared" si="67"/>
        <v/>
      </c>
    </row>
    <row r="250" spans="7:25" x14ac:dyDescent="0.25">
      <c r="G250" s="303">
        <f t="shared" si="64"/>
        <v>0</v>
      </c>
      <c r="H250" s="304">
        <f t="shared" si="68"/>
        <v>243</v>
      </c>
      <c r="I250" s="305" t="str">
        <f t="shared" si="70"/>
        <v/>
      </c>
      <c r="J250" s="305" t="str">
        <f t="shared" si="71"/>
        <v/>
      </c>
      <c r="K250" s="305" t="str">
        <f t="shared" si="72"/>
        <v/>
      </c>
      <c r="L250" s="305" t="str">
        <f t="shared" si="73"/>
        <v/>
      </c>
      <c r="M250" s="314" t="str">
        <f t="shared" si="74"/>
        <v/>
      </c>
      <c r="N250" s="305" t="str">
        <f t="shared" si="75"/>
        <v/>
      </c>
      <c r="O250" s="327" t="e">
        <f t="shared" si="66"/>
        <v>#NUM!</v>
      </c>
      <c r="P250" s="305"/>
      <c r="Q250" s="303">
        <f t="shared" si="65"/>
        <v>0</v>
      </c>
      <c r="R250" s="304">
        <f t="shared" si="69"/>
        <v>-143</v>
      </c>
      <c r="S250" s="305" t="str">
        <f t="shared" si="76"/>
        <v/>
      </c>
      <c r="T250" s="305" t="str">
        <f t="shared" si="77"/>
        <v/>
      </c>
      <c r="U250" s="305" t="str">
        <f t="shared" si="78"/>
        <v/>
      </c>
      <c r="V250" s="305" t="str">
        <f t="shared" si="79"/>
        <v/>
      </c>
      <c r="W250" s="314" t="str">
        <f t="shared" si="80"/>
        <v/>
      </c>
      <c r="X250" s="314" t="str">
        <f t="shared" si="81"/>
        <v/>
      </c>
      <c r="Y250" s="326" t="str">
        <f t="shared" si="67"/>
        <v/>
      </c>
    </row>
    <row r="251" spans="7:25" x14ac:dyDescent="0.25">
      <c r="G251" s="303">
        <f t="shared" si="64"/>
        <v>0</v>
      </c>
      <c r="H251" s="304">
        <f t="shared" si="68"/>
        <v>244</v>
      </c>
      <c r="I251" s="305" t="str">
        <f t="shared" si="70"/>
        <v/>
      </c>
      <c r="J251" s="305" t="str">
        <f t="shared" si="71"/>
        <v/>
      </c>
      <c r="K251" s="305" t="str">
        <f t="shared" si="72"/>
        <v/>
      </c>
      <c r="L251" s="305" t="str">
        <f t="shared" si="73"/>
        <v/>
      </c>
      <c r="M251" s="314" t="str">
        <f t="shared" si="74"/>
        <v/>
      </c>
      <c r="N251" s="305" t="str">
        <f t="shared" si="75"/>
        <v/>
      </c>
      <c r="O251" s="327" t="e">
        <f t="shared" si="66"/>
        <v>#NUM!</v>
      </c>
      <c r="P251" s="305"/>
      <c r="Q251" s="303">
        <f t="shared" si="65"/>
        <v>0</v>
      </c>
      <c r="R251" s="304">
        <f t="shared" si="69"/>
        <v>-144</v>
      </c>
      <c r="S251" s="305" t="str">
        <f t="shared" si="76"/>
        <v/>
      </c>
      <c r="T251" s="305" t="str">
        <f t="shared" si="77"/>
        <v/>
      </c>
      <c r="U251" s="305" t="str">
        <f t="shared" si="78"/>
        <v/>
      </c>
      <c r="V251" s="305" t="str">
        <f t="shared" si="79"/>
        <v/>
      </c>
      <c r="W251" s="314" t="str">
        <f t="shared" si="80"/>
        <v/>
      </c>
      <c r="X251" s="314" t="str">
        <f t="shared" si="81"/>
        <v/>
      </c>
      <c r="Y251" s="326" t="str">
        <f t="shared" si="67"/>
        <v/>
      </c>
    </row>
    <row r="252" spans="7:25" x14ac:dyDescent="0.25">
      <c r="G252" s="303">
        <f t="shared" si="64"/>
        <v>0</v>
      </c>
      <c r="H252" s="304">
        <f t="shared" si="68"/>
        <v>245</v>
      </c>
      <c r="I252" s="305" t="str">
        <f t="shared" si="70"/>
        <v/>
      </c>
      <c r="J252" s="305" t="str">
        <f t="shared" si="71"/>
        <v/>
      </c>
      <c r="K252" s="305" t="str">
        <f t="shared" si="72"/>
        <v/>
      </c>
      <c r="L252" s="305" t="str">
        <f t="shared" si="73"/>
        <v/>
      </c>
      <c r="M252" s="314" t="str">
        <f t="shared" si="74"/>
        <v/>
      </c>
      <c r="N252" s="305" t="str">
        <f t="shared" si="75"/>
        <v/>
      </c>
      <c r="O252" s="327" t="e">
        <f t="shared" si="66"/>
        <v>#NUM!</v>
      </c>
      <c r="P252" s="305"/>
      <c r="Q252" s="303">
        <f t="shared" si="65"/>
        <v>0</v>
      </c>
      <c r="R252" s="304">
        <f t="shared" si="69"/>
        <v>-145</v>
      </c>
      <c r="S252" s="305" t="str">
        <f t="shared" si="76"/>
        <v/>
      </c>
      <c r="T252" s="305" t="str">
        <f t="shared" si="77"/>
        <v/>
      </c>
      <c r="U252" s="305" t="str">
        <f t="shared" si="78"/>
        <v/>
      </c>
      <c r="V252" s="305" t="str">
        <f t="shared" si="79"/>
        <v/>
      </c>
      <c r="W252" s="314" t="str">
        <f t="shared" si="80"/>
        <v/>
      </c>
      <c r="X252" s="314" t="str">
        <f t="shared" si="81"/>
        <v/>
      </c>
      <c r="Y252" s="326" t="str">
        <f t="shared" si="67"/>
        <v/>
      </c>
    </row>
    <row r="253" spans="7:25" x14ac:dyDescent="0.25">
      <c r="G253" s="303">
        <f t="shared" si="64"/>
        <v>0</v>
      </c>
      <c r="H253" s="304">
        <f t="shared" si="68"/>
        <v>246</v>
      </c>
      <c r="I253" s="305" t="str">
        <f t="shared" si="70"/>
        <v/>
      </c>
      <c r="J253" s="305" t="str">
        <f t="shared" si="71"/>
        <v/>
      </c>
      <c r="K253" s="305" t="str">
        <f t="shared" si="72"/>
        <v/>
      </c>
      <c r="L253" s="305" t="str">
        <f t="shared" si="73"/>
        <v/>
      </c>
      <c r="M253" s="314" t="str">
        <f t="shared" si="74"/>
        <v/>
      </c>
      <c r="N253" s="305" t="str">
        <f t="shared" si="75"/>
        <v/>
      </c>
      <c r="O253" s="327" t="e">
        <f t="shared" si="66"/>
        <v>#NUM!</v>
      </c>
      <c r="P253" s="305"/>
      <c r="Q253" s="303">
        <f t="shared" si="65"/>
        <v>0</v>
      </c>
      <c r="R253" s="304">
        <f t="shared" si="69"/>
        <v>-146</v>
      </c>
      <c r="S253" s="305" t="str">
        <f t="shared" si="76"/>
        <v/>
      </c>
      <c r="T253" s="305" t="str">
        <f t="shared" si="77"/>
        <v/>
      </c>
      <c r="U253" s="305" t="str">
        <f t="shared" si="78"/>
        <v/>
      </c>
      <c r="V253" s="305" t="str">
        <f t="shared" si="79"/>
        <v/>
      </c>
      <c r="W253" s="314" t="str">
        <f t="shared" si="80"/>
        <v/>
      </c>
      <c r="X253" s="314" t="str">
        <f t="shared" si="81"/>
        <v/>
      </c>
      <c r="Y253" s="326" t="str">
        <f t="shared" si="67"/>
        <v/>
      </c>
    </row>
    <row r="254" spans="7:25" x14ac:dyDescent="0.25">
      <c r="G254" s="303">
        <f t="shared" si="64"/>
        <v>0</v>
      </c>
      <c r="H254" s="304">
        <f t="shared" si="68"/>
        <v>247</v>
      </c>
      <c r="I254" s="305" t="str">
        <f t="shared" si="70"/>
        <v/>
      </c>
      <c r="J254" s="305" t="str">
        <f t="shared" si="71"/>
        <v/>
      </c>
      <c r="K254" s="305" t="str">
        <f t="shared" si="72"/>
        <v/>
      </c>
      <c r="L254" s="305" t="str">
        <f t="shared" si="73"/>
        <v/>
      </c>
      <c r="M254" s="314" t="str">
        <f t="shared" si="74"/>
        <v/>
      </c>
      <c r="N254" s="305" t="str">
        <f t="shared" si="75"/>
        <v/>
      </c>
      <c r="O254" s="327" t="e">
        <f t="shared" si="66"/>
        <v>#NUM!</v>
      </c>
      <c r="P254" s="305"/>
      <c r="Q254" s="303">
        <f t="shared" si="65"/>
        <v>0</v>
      </c>
      <c r="R254" s="304">
        <f t="shared" si="69"/>
        <v>-147</v>
      </c>
      <c r="S254" s="305" t="str">
        <f t="shared" si="76"/>
        <v/>
      </c>
      <c r="T254" s="305" t="str">
        <f t="shared" si="77"/>
        <v/>
      </c>
      <c r="U254" s="305" t="str">
        <f t="shared" si="78"/>
        <v/>
      </c>
      <c r="V254" s="305" t="str">
        <f t="shared" si="79"/>
        <v/>
      </c>
      <c r="W254" s="314" t="str">
        <f t="shared" si="80"/>
        <v/>
      </c>
      <c r="X254" s="314" t="str">
        <f t="shared" si="81"/>
        <v/>
      </c>
      <c r="Y254" s="326" t="str">
        <f t="shared" si="67"/>
        <v/>
      </c>
    </row>
    <row r="255" spans="7:25" x14ac:dyDescent="0.25">
      <c r="G255" s="303">
        <f t="shared" si="64"/>
        <v>0</v>
      </c>
      <c r="H255" s="304">
        <f t="shared" si="68"/>
        <v>248</v>
      </c>
      <c r="I255" s="305" t="str">
        <f t="shared" si="70"/>
        <v/>
      </c>
      <c r="J255" s="305" t="str">
        <f t="shared" si="71"/>
        <v/>
      </c>
      <c r="K255" s="305" t="str">
        <f t="shared" si="72"/>
        <v/>
      </c>
      <c r="L255" s="305" t="str">
        <f t="shared" si="73"/>
        <v/>
      </c>
      <c r="M255" s="314" t="str">
        <f t="shared" si="74"/>
        <v/>
      </c>
      <c r="N255" s="305" t="str">
        <f t="shared" si="75"/>
        <v/>
      </c>
      <c r="O255" s="327" t="e">
        <f t="shared" si="66"/>
        <v>#NUM!</v>
      </c>
      <c r="P255" s="305"/>
      <c r="Q255" s="303">
        <f t="shared" si="65"/>
        <v>0</v>
      </c>
      <c r="R255" s="304">
        <f t="shared" si="69"/>
        <v>-148</v>
      </c>
      <c r="S255" s="305" t="str">
        <f t="shared" si="76"/>
        <v/>
      </c>
      <c r="T255" s="305" t="str">
        <f t="shared" si="77"/>
        <v/>
      </c>
      <c r="U255" s="305" t="str">
        <f t="shared" si="78"/>
        <v/>
      </c>
      <c r="V255" s="305" t="str">
        <f t="shared" si="79"/>
        <v/>
      </c>
      <c r="W255" s="314" t="str">
        <f t="shared" si="80"/>
        <v/>
      </c>
      <c r="X255" s="314" t="str">
        <f t="shared" si="81"/>
        <v/>
      </c>
      <c r="Y255" s="326" t="str">
        <f t="shared" si="67"/>
        <v/>
      </c>
    </row>
    <row r="256" spans="7:25" x14ac:dyDescent="0.25">
      <c r="G256" s="303">
        <f t="shared" si="64"/>
        <v>0</v>
      </c>
      <c r="H256" s="304">
        <f t="shared" si="68"/>
        <v>249</v>
      </c>
      <c r="I256" s="305" t="str">
        <f t="shared" si="70"/>
        <v/>
      </c>
      <c r="J256" s="305" t="str">
        <f t="shared" si="71"/>
        <v/>
      </c>
      <c r="K256" s="305" t="str">
        <f t="shared" si="72"/>
        <v/>
      </c>
      <c r="L256" s="305" t="str">
        <f t="shared" si="73"/>
        <v/>
      </c>
      <c r="M256" s="314" t="str">
        <f t="shared" si="74"/>
        <v/>
      </c>
      <c r="N256" s="305" t="str">
        <f t="shared" si="75"/>
        <v/>
      </c>
      <c r="O256" s="327" t="e">
        <f t="shared" si="66"/>
        <v>#NUM!</v>
      </c>
      <c r="P256" s="305"/>
      <c r="Q256" s="303">
        <f t="shared" si="65"/>
        <v>0</v>
      </c>
      <c r="R256" s="304">
        <f t="shared" si="69"/>
        <v>-149</v>
      </c>
      <c r="S256" s="305" t="str">
        <f t="shared" si="76"/>
        <v/>
      </c>
      <c r="T256" s="305" t="str">
        <f t="shared" si="77"/>
        <v/>
      </c>
      <c r="U256" s="305" t="str">
        <f t="shared" si="78"/>
        <v/>
      </c>
      <c r="V256" s="305" t="str">
        <f t="shared" si="79"/>
        <v/>
      </c>
      <c r="W256" s="314" t="str">
        <f t="shared" si="80"/>
        <v/>
      </c>
      <c r="X256" s="314" t="str">
        <f t="shared" si="81"/>
        <v/>
      </c>
      <c r="Y256" s="326" t="str">
        <f t="shared" si="67"/>
        <v/>
      </c>
    </row>
    <row r="257" spans="7:25" x14ac:dyDescent="0.25">
      <c r="G257" s="303">
        <f t="shared" si="64"/>
        <v>0</v>
      </c>
      <c r="H257" s="304">
        <f t="shared" si="68"/>
        <v>250</v>
      </c>
      <c r="I257" s="305" t="str">
        <f t="shared" si="70"/>
        <v/>
      </c>
      <c r="J257" s="305" t="str">
        <f t="shared" si="71"/>
        <v/>
      </c>
      <c r="K257" s="305" t="str">
        <f t="shared" si="72"/>
        <v/>
      </c>
      <c r="L257" s="305" t="str">
        <f t="shared" si="73"/>
        <v/>
      </c>
      <c r="M257" s="314" t="str">
        <f t="shared" si="74"/>
        <v/>
      </c>
      <c r="N257" s="305" t="str">
        <f t="shared" si="75"/>
        <v/>
      </c>
      <c r="O257" s="327" t="e">
        <f t="shared" si="66"/>
        <v>#NUM!</v>
      </c>
      <c r="P257" s="305"/>
      <c r="Q257" s="303">
        <f t="shared" si="65"/>
        <v>0</v>
      </c>
      <c r="R257" s="304">
        <f t="shared" si="69"/>
        <v>-150</v>
      </c>
      <c r="S257" s="305" t="str">
        <f t="shared" si="76"/>
        <v/>
      </c>
      <c r="T257" s="305" t="str">
        <f t="shared" si="77"/>
        <v/>
      </c>
      <c r="U257" s="305" t="str">
        <f t="shared" si="78"/>
        <v/>
      </c>
      <c r="V257" s="305" t="str">
        <f t="shared" si="79"/>
        <v/>
      </c>
      <c r="W257" s="314" t="str">
        <f t="shared" si="80"/>
        <v/>
      </c>
      <c r="X257" s="314" t="str">
        <f t="shared" si="81"/>
        <v/>
      </c>
      <c r="Y257" s="326" t="str">
        <f t="shared" si="67"/>
        <v/>
      </c>
    </row>
    <row r="258" spans="7:25" x14ac:dyDescent="0.25">
      <c r="G258" s="303">
        <f t="shared" si="64"/>
        <v>0</v>
      </c>
      <c r="H258" s="304">
        <f t="shared" si="68"/>
        <v>251</v>
      </c>
      <c r="I258" s="305" t="str">
        <f t="shared" si="70"/>
        <v/>
      </c>
      <c r="J258" s="305" t="str">
        <f t="shared" si="71"/>
        <v/>
      </c>
      <c r="K258" s="305" t="str">
        <f t="shared" si="72"/>
        <v/>
      </c>
      <c r="L258" s="305" t="str">
        <f t="shared" si="73"/>
        <v/>
      </c>
      <c r="M258" s="314" t="str">
        <f t="shared" si="74"/>
        <v/>
      </c>
      <c r="N258" s="305" t="str">
        <f t="shared" si="75"/>
        <v/>
      </c>
      <c r="O258" s="327" t="e">
        <f t="shared" si="66"/>
        <v>#NUM!</v>
      </c>
      <c r="P258" s="305"/>
      <c r="Q258" s="303">
        <f t="shared" si="65"/>
        <v>0</v>
      </c>
      <c r="R258" s="304">
        <f t="shared" si="69"/>
        <v>-151</v>
      </c>
      <c r="S258" s="305" t="str">
        <f t="shared" si="76"/>
        <v/>
      </c>
      <c r="T258" s="305" t="str">
        <f t="shared" si="77"/>
        <v/>
      </c>
      <c r="U258" s="305" t="str">
        <f t="shared" si="78"/>
        <v/>
      </c>
      <c r="V258" s="305" t="str">
        <f t="shared" si="79"/>
        <v/>
      </c>
      <c r="W258" s="314" t="str">
        <f t="shared" si="80"/>
        <v/>
      </c>
      <c r="X258" s="314" t="str">
        <f t="shared" si="81"/>
        <v/>
      </c>
      <c r="Y258" s="326" t="str">
        <f t="shared" si="67"/>
        <v/>
      </c>
    </row>
    <row r="259" spans="7:25" x14ac:dyDescent="0.25">
      <c r="G259" s="303">
        <f t="shared" si="64"/>
        <v>0</v>
      </c>
      <c r="H259" s="304">
        <f t="shared" si="68"/>
        <v>252</v>
      </c>
      <c r="I259" s="305" t="str">
        <f t="shared" si="70"/>
        <v/>
      </c>
      <c r="J259" s="305" t="str">
        <f t="shared" si="71"/>
        <v/>
      </c>
      <c r="K259" s="305" t="str">
        <f t="shared" si="72"/>
        <v/>
      </c>
      <c r="L259" s="305" t="str">
        <f t="shared" si="73"/>
        <v/>
      </c>
      <c r="M259" s="314" t="str">
        <f t="shared" si="74"/>
        <v/>
      </c>
      <c r="N259" s="305" t="str">
        <f t="shared" si="75"/>
        <v/>
      </c>
      <c r="O259" s="327" t="e">
        <f t="shared" si="66"/>
        <v>#NUM!</v>
      </c>
      <c r="P259" s="305"/>
      <c r="Q259" s="303">
        <f t="shared" si="65"/>
        <v>0</v>
      </c>
      <c r="R259" s="304">
        <f t="shared" si="69"/>
        <v>-152</v>
      </c>
      <c r="S259" s="305" t="str">
        <f t="shared" si="76"/>
        <v/>
      </c>
      <c r="T259" s="305" t="str">
        <f t="shared" si="77"/>
        <v/>
      </c>
      <c r="U259" s="305" t="str">
        <f t="shared" si="78"/>
        <v/>
      </c>
      <c r="V259" s="305" t="str">
        <f t="shared" si="79"/>
        <v/>
      </c>
      <c r="W259" s="314" t="str">
        <f t="shared" si="80"/>
        <v/>
      </c>
      <c r="X259" s="314" t="str">
        <f t="shared" si="81"/>
        <v/>
      </c>
      <c r="Y259" s="326" t="str">
        <f t="shared" si="67"/>
        <v/>
      </c>
    </row>
    <row r="260" spans="7:25" x14ac:dyDescent="0.25">
      <c r="G260" s="303">
        <f t="shared" si="64"/>
        <v>0</v>
      </c>
      <c r="H260" s="304">
        <f t="shared" si="68"/>
        <v>253</v>
      </c>
      <c r="I260" s="305" t="str">
        <f t="shared" si="70"/>
        <v/>
      </c>
      <c r="J260" s="305" t="str">
        <f t="shared" si="71"/>
        <v/>
      </c>
      <c r="K260" s="305" t="str">
        <f t="shared" si="72"/>
        <v/>
      </c>
      <c r="L260" s="305" t="str">
        <f t="shared" si="73"/>
        <v/>
      </c>
      <c r="M260" s="314" t="str">
        <f t="shared" si="74"/>
        <v/>
      </c>
      <c r="N260" s="305" t="str">
        <f t="shared" si="75"/>
        <v/>
      </c>
      <c r="O260" s="327" t="e">
        <f t="shared" si="66"/>
        <v>#NUM!</v>
      </c>
      <c r="P260" s="305"/>
      <c r="Q260" s="303">
        <f t="shared" si="65"/>
        <v>0</v>
      </c>
      <c r="R260" s="304">
        <f t="shared" si="69"/>
        <v>-153</v>
      </c>
      <c r="S260" s="305" t="str">
        <f t="shared" si="76"/>
        <v/>
      </c>
      <c r="T260" s="305" t="str">
        <f t="shared" si="77"/>
        <v/>
      </c>
      <c r="U260" s="305" t="str">
        <f t="shared" si="78"/>
        <v/>
      </c>
      <c r="V260" s="305" t="str">
        <f t="shared" si="79"/>
        <v/>
      </c>
      <c r="W260" s="314" t="str">
        <f t="shared" si="80"/>
        <v/>
      </c>
      <c r="X260" s="314" t="str">
        <f t="shared" si="81"/>
        <v/>
      </c>
      <c r="Y260" s="326" t="str">
        <f t="shared" si="67"/>
        <v/>
      </c>
    </row>
    <row r="261" spans="7:25" x14ac:dyDescent="0.25">
      <c r="G261" s="303">
        <f t="shared" si="64"/>
        <v>0</v>
      </c>
      <c r="H261" s="304">
        <f t="shared" si="68"/>
        <v>254</v>
      </c>
      <c r="I261" s="305" t="str">
        <f t="shared" si="70"/>
        <v/>
      </c>
      <c r="J261" s="305" t="str">
        <f t="shared" si="71"/>
        <v/>
      </c>
      <c r="K261" s="305" t="str">
        <f t="shared" si="72"/>
        <v/>
      </c>
      <c r="L261" s="305" t="str">
        <f t="shared" si="73"/>
        <v/>
      </c>
      <c r="M261" s="314" t="str">
        <f t="shared" si="74"/>
        <v/>
      </c>
      <c r="N261" s="305" t="str">
        <f t="shared" si="75"/>
        <v/>
      </c>
      <c r="O261" s="327" t="e">
        <f t="shared" si="66"/>
        <v>#NUM!</v>
      </c>
      <c r="P261" s="305"/>
      <c r="Q261" s="303">
        <f t="shared" si="65"/>
        <v>0</v>
      </c>
      <c r="R261" s="304">
        <f t="shared" si="69"/>
        <v>-154</v>
      </c>
      <c r="S261" s="305" t="str">
        <f t="shared" si="76"/>
        <v/>
      </c>
      <c r="T261" s="305" t="str">
        <f t="shared" si="77"/>
        <v/>
      </c>
      <c r="U261" s="305" t="str">
        <f t="shared" si="78"/>
        <v/>
      </c>
      <c r="V261" s="305" t="str">
        <f t="shared" si="79"/>
        <v/>
      </c>
      <c r="W261" s="314" t="str">
        <f t="shared" si="80"/>
        <v/>
      </c>
      <c r="X261" s="314" t="str">
        <f t="shared" si="81"/>
        <v/>
      </c>
      <c r="Y261" s="326" t="str">
        <f t="shared" si="67"/>
        <v/>
      </c>
    </row>
    <row r="262" spans="7:25" x14ac:dyDescent="0.25">
      <c r="G262" s="303">
        <f t="shared" si="64"/>
        <v>0</v>
      </c>
      <c r="H262" s="304">
        <f t="shared" si="68"/>
        <v>255</v>
      </c>
      <c r="I262" s="305" t="str">
        <f t="shared" si="70"/>
        <v/>
      </c>
      <c r="J262" s="305" t="str">
        <f t="shared" si="71"/>
        <v/>
      </c>
      <c r="K262" s="305" t="str">
        <f t="shared" si="72"/>
        <v/>
      </c>
      <c r="L262" s="305" t="str">
        <f t="shared" si="73"/>
        <v/>
      </c>
      <c r="M262" s="314" t="str">
        <f t="shared" si="74"/>
        <v/>
      </c>
      <c r="N262" s="305" t="str">
        <f t="shared" si="75"/>
        <v/>
      </c>
      <c r="O262" s="327" t="e">
        <f t="shared" si="66"/>
        <v>#NUM!</v>
      </c>
      <c r="P262" s="305"/>
      <c r="Q262" s="303">
        <f t="shared" si="65"/>
        <v>0</v>
      </c>
      <c r="R262" s="304">
        <f t="shared" si="69"/>
        <v>-155</v>
      </c>
      <c r="S262" s="305" t="str">
        <f t="shared" si="76"/>
        <v/>
      </c>
      <c r="T262" s="305" t="str">
        <f t="shared" si="77"/>
        <v/>
      </c>
      <c r="U262" s="305" t="str">
        <f t="shared" si="78"/>
        <v/>
      </c>
      <c r="V262" s="305" t="str">
        <f t="shared" si="79"/>
        <v/>
      </c>
      <c r="W262" s="314" t="str">
        <f t="shared" si="80"/>
        <v/>
      </c>
      <c r="X262" s="314" t="str">
        <f t="shared" si="81"/>
        <v/>
      </c>
      <c r="Y262" s="326" t="str">
        <f t="shared" si="67"/>
        <v/>
      </c>
    </row>
    <row r="263" spans="7:25" x14ac:dyDescent="0.25">
      <c r="G263" s="303">
        <f t="shared" ref="G263:G326" si="82">IF(H263&lt;=$C$16,1,0)</f>
        <v>0</v>
      </c>
      <c r="H263" s="304">
        <f t="shared" si="68"/>
        <v>256</v>
      </c>
      <c r="I263" s="305" t="str">
        <f t="shared" si="70"/>
        <v/>
      </c>
      <c r="J263" s="305" t="str">
        <f t="shared" si="71"/>
        <v/>
      </c>
      <c r="K263" s="305" t="str">
        <f t="shared" si="72"/>
        <v/>
      </c>
      <c r="L263" s="305" t="str">
        <f t="shared" si="73"/>
        <v/>
      </c>
      <c r="M263" s="314" t="str">
        <f t="shared" si="74"/>
        <v/>
      </c>
      <c r="N263" s="305" t="str">
        <f t="shared" si="75"/>
        <v/>
      </c>
      <c r="O263" s="327" t="e">
        <f t="shared" si="66"/>
        <v>#NUM!</v>
      </c>
      <c r="P263" s="305"/>
      <c r="Q263" s="303">
        <f t="shared" ref="Q263:Q326" si="83">IF(R263&gt;=$C$16,1,0)</f>
        <v>0</v>
      </c>
      <c r="R263" s="304">
        <f t="shared" si="69"/>
        <v>-156</v>
      </c>
      <c r="S263" s="305" t="str">
        <f t="shared" si="76"/>
        <v/>
      </c>
      <c r="T263" s="305" t="str">
        <f t="shared" si="77"/>
        <v/>
      </c>
      <c r="U263" s="305" t="str">
        <f t="shared" si="78"/>
        <v/>
      </c>
      <c r="V263" s="305" t="str">
        <f t="shared" si="79"/>
        <v/>
      </c>
      <c r="W263" s="314" t="str">
        <f t="shared" si="80"/>
        <v/>
      </c>
      <c r="X263" s="314" t="str">
        <f t="shared" si="81"/>
        <v/>
      </c>
      <c r="Y263" s="326" t="str">
        <f t="shared" si="67"/>
        <v/>
      </c>
    </row>
    <row r="264" spans="7:25" x14ac:dyDescent="0.25">
      <c r="G264" s="303">
        <f t="shared" si="82"/>
        <v>0</v>
      </c>
      <c r="H264" s="304">
        <f t="shared" si="68"/>
        <v>257</v>
      </c>
      <c r="I264" s="305" t="str">
        <f t="shared" si="70"/>
        <v/>
      </c>
      <c r="J264" s="305" t="str">
        <f t="shared" si="71"/>
        <v/>
      </c>
      <c r="K264" s="305" t="str">
        <f t="shared" si="72"/>
        <v/>
      </c>
      <c r="L264" s="305" t="str">
        <f t="shared" si="73"/>
        <v/>
      </c>
      <c r="M264" s="314" t="str">
        <f t="shared" si="74"/>
        <v/>
      </c>
      <c r="N264" s="305" t="str">
        <f t="shared" si="75"/>
        <v/>
      </c>
      <c r="O264" s="327" t="e">
        <f t="shared" ref="O264:O327" si="84">IF($C$15=1,IF(AND(O263&lt;=$C$17,M264&lt;=$C$17),M264,""),"")</f>
        <v>#NUM!</v>
      </c>
      <c r="P264" s="305"/>
      <c r="Q264" s="303">
        <f t="shared" si="83"/>
        <v>0</v>
      </c>
      <c r="R264" s="304">
        <f t="shared" si="69"/>
        <v>-157</v>
      </c>
      <c r="S264" s="305" t="str">
        <f t="shared" si="76"/>
        <v/>
      </c>
      <c r="T264" s="305" t="str">
        <f t="shared" si="77"/>
        <v/>
      </c>
      <c r="U264" s="305" t="str">
        <f t="shared" si="78"/>
        <v/>
      </c>
      <c r="V264" s="305" t="str">
        <f t="shared" si="79"/>
        <v/>
      </c>
      <c r="W264" s="314" t="str">
        <f t="shared" si="80"/>
        <v/>
      </c>
      <c r="X264" s="314" t="str">
        <f t="shared" si="81"/>
        <v/>
      </c>
      <c r="Y264" s="326" t="str">
        <f t="shared" ref="Y264:Y327" si="85">IF($C$15=-1,IF(AND(Y263&lt;=$C$17,W264&lt;=$C$17),M264,""),"")</f>
        <v/>
      </c>
    </row>
    <row r="265" spans="7:25" x14ac:dyDescent="0.25">
      <c r="G265" s="303">
        <f t="shared" si="82"/>
        <v>0</v>
      </c>
      <c r="H265" s="304">
        <f t="shared" ref="H265:H328" si="86">H264+1</f>
        <v>258</v>
      </c>
      <c r="I265" s="305" t="str">
        <f t="shared" si="70"/>
        <v/>
      </c>
      <c r="J265" s="305" t="str">
        <f t="shared" si="71"/>
        <v/>
      </c>
      <c r="K265" s="305" t="str">
        <f t="shared" si="72"/>
        <v/>
      </c>
      <c r="L265" s="305" t="str">
        <f t="shared" si="73"/>
        <v/>
      </c>
      <c r="M265" s="314" t="str">
        <f t="shared" si="74"/>
        <v/>
      </c>
      <c r="N265" s="305" t="str">
        <f t="shared" si="75"/>
        <v/>
      </c>
      <c r="O265" s="327" t="e">
        <f t="shared" si="84"/>
        <v>#NUM!</v>
      </c>
      <c r="P265" s="305"/>
      <c r="Q265" s="303">
        <f t="shared" si="83"/>
        <v>0</v>
      </c>
      <c r="R265" s="304">
        <f t="shared" ref="R265:R328" si="87">R264-1</f>
        <v>-158</v>
      </c>
      <c r="S265" s="305" t="str">
        <f t="shared" si="76"/>
        <v/>
      </c>
      <c r="T265" s="305" t="str">
        <f t="shared" si="77"/>
        <v/>
      </c>
      <c r="U265" s="305" t="str">
        <f t="shared" si="78"/>
        <v/>
      </c>
      <c r="V265" s="305" t="str">
        <f t="shared" si="79"/>
        <v/>
      </c>
      <c r="W265" s="314" t="str">
        <f t="shared" si="80"/>
        <v/>
      </c>
      <c r="X265" s="314" t="str">
        <f t="shared" si="81"/>
        <v/>
      </c>
      <c r="Y265" s="326" t="str">
        <f t="shared" si="85"/>
        <v/>
      </c>
    </row>
    <row r="266" spans="7:25" x14ac:dyDescent="0.25">
      <c r="G266" s="303">
        <f t="shared" si="82"/>
        <v>0</v>
      </c>
      <c r="H266" s="304">
        <f t="shared" si="86"/>
        <v>259</v>
      </c>
      <c r="I266" s="305" t="str">
        <f t="shared" si="70"/>
        <v/>
      </c>
      <c r="J266" s="305" t="str">
        <f t="shared" si="71"/>
        <v/>
      </c>
      <c r="K266" s="305" t="str">
        <f t="shared" si="72"/>
        <v/>
      </c>
      <c r="L266" s="305" t="str">
        <f t="shared" si="73"/>
        <v/>
      </c>
      <c r="M266" s="314" t="str">
        <f t="shared" si="74"/>
        <v/>
      </c>
      <c r="N266" s="305" t="str">
        <f t="shared" si="75"/>
        <v/>
      </c>
      <c r="O266" s="327" t="e">
        <f t="shared" si="84"/>
        <v>#NUM!</v>
      </c>
      <c r="P266" s="305"/>
      <c r="Q266" s="303">
        <f t="shared" si="83"/>
        <v>0</v>
      </c>
      <c r="R266" s="304">
        <f t="shared" si="87"/>
        <v>-159</v>
      </c>
      <c r="S266" s="305" t="str">
        <f t="shared" si="76"/>
        <v/>
      </c>
      <c r="T266" s="305" t="str">
        <f t="shared" si="77"/>
        <v/>
      </c>
      <c r="U266" s="305" t="str">
        <f t="shared" si="78"/>
        <v/>
      </c>
      <c r="V266" s="305" t="str">
        <f t="shared" si="79"/>
        <v/>
      </c>
      <c r="W266" s="314" t="str">
        <f t="shared" si="80"/>
        <v/>
      </c>
      <c r="X266" s="314" t="str">
        <f t="shared" si="81"/>
        <v/>
      </c>
      <c r="Y266" s="326" t="str">
        <f t="shared" si="85"/>
        <v/>
      </c>
    </row>
    <row r="267" spans="7:25" x14ac:dyDescent="0.25">
      <c r="G267" s="303">
        <f t="shared" si="82"/>
        <v>0</v>
      </c>
      <c r="H267" s="304">
        <f t="shared" si="86"/>
        <v>260</v>
      </c>
      <c r="I267" s="305" t="str">
        <f t="shared" si="70"/>
        <v/>
      </c>
      <c r="J267" s="305" t="str">
        <f t="shared" si="71"/>
        <v/>
      </c>
      <c r="K267" s="305" t="str">
        <f t="shared" si="72"/>
        <v/>
      </c>
      <c r="L267" s="305" t="str">
        <f t="shared" si="73"/>
        <v/>
      </c>
      <c r="M267" s="314" t="str">
        <f t="shared" si="74"/>
        <v/>
      </c>
      <c r="N267" s="305" t="str">
        <f t="shared" si="75"/>
        <v/>
      </c>
      <c r="O267" s="327" t="e">
        <f t="shared" si="84"/>
        <v>#NUM!</v>
      </c>
      <c r="P267" s="305"/>
      <c r="Q267" s="303">
        <f t="shared" si="83"/>
        <v>0</v>
      </c>
      <c r="R267" s="304">
        <f t="shared" si="87"/>
        <v>-160</v>
      </c>
      <c r="S267" s="305" t="str">
        <f t="shared" si="76"/>
        <v/>
      </c>
      <c r="T267" s="305" t="str">
        <f t="shared" si="77"/>
        <v/>
      </c>
      <c r="U267" s="305" t="str">
        <f t="shared" si="78"/>
        <v/>
      </c>
      <c r="V267" s="305" t="str">
        <f t="shared" si="79"/>
        <v/>
      </c>
      <c r="W267" s="314" t="str">
        <f t="shared" si="80"/>
        <v/>
      </c>
      <c r="X267" s="314" t="str">
        <f t="shared" si="81"/>
        <v/>
      </c>
      <c r="Y267" s="326" t="str">
        <f t="shared" si="85"/>
        <v/>
      </c>
    </row>
    <row r="268" spans="7:25" x14ac:dyDescent="0.25">
      <c r="G268" s="303">
        <f t="shared" si="82"/>
        <v>0</v>
      </c>
      <c r="H268" s="304">
        <f t="shared" si="86"/>
        <v>261</v>
      </c>
      <c r="I268" s="305" t="str">
        <f t="shared" si="70"/>
        <v/>
      </c>
      <c r="J268" s="305" t="str">
        <f t="shared" si="71"/>
        <v/>
      </c>
      <c r="K268" s="305" t="str">
        <f t="shared" si="72"/>
        <v/>
      </c>
      <c r="L268" s="305" t="str">
        <f t="shared" si="73"/>
        <v/>
      </c>
      <c r="M268" s="314" t="str">
        <f t="shared" si="74"/>
        <v/>
      </c>
      <c r="N268" s="305" t="str">
        <f t="shared" si="75"/>
        <v/>
      </c>
      <c r="O268" s="327" t="e">
        <f t="shared" si="84"/>
        <v>#NUM!</v>
      </c>
      <c r="P268" s="305"/>
      <c r="Q268" s="303">
        <f t="shared" si="83"/>
        <v>0</v>
      </c>
      <c r="R268" s="304">
        <f t="shared" si="87"/>
        <v>-161</v>
      </c>
      <c r="S268" s="305" t="str">
        <f t="shared" si="76"/>
        <v/>
      </c>
      <c r="T268" s="305" t="str">
        <f t="shared" si="77"/>
        <v/>
      </c>
      <c r="U268" s="305" t="str">
        <f t="shared" si="78"/>
        <v/>
      </c>
      <c r="V268" s="305" t="str">
        <f t="shared" si="79"/>
        <v/>
      </c>
      <c r="W268" s="314" t="str">
        <f t="shared" si="80"/>
        <v/>
      </c>
      <c r="X268" s="314" t="str">
        <f t="shared" si="81"/>
        <v/>
      </c>
      <c r="Y268" s="326" t="str">
        <f t="shared" si="85"/>
        <v/>
      </c>
    </row>
    <row r="269" spans="7:25" x14ac:dyDescent="0.25">
      <c r="G269" s="303">
        <f t="shared" si="82"/>
        <v>0</v>
      </c>
      <c r="H269" s="304">
        <f t="shared" si="86"/>
        <v>262</v>
      </c>
      <c r="I269" s="305" t="str">
        <f t="shared" ref="I269:I332" si="88">IF(G269,H269,"")</f>
        <v/>
      </c>
      <c r="J269" s="305" t="str">
        <f t="shared" ref="J269:J332" si="89">IF(G269,$D$5-H269,"")</f>
        <v/>
      </c>
      <c r="K269" s="305" t="str">
        <f t="shared" ref="K269:K332" si="90">IF(G269,$B$7-H269,"")</f>
        <v/>
      </c>
      <c r="L269" s="305" t="str">
        <f t="shared" ref="L269:L332" si="91">IF(G269,$D$7-SUM(I269:K269),"")</f>
        <v/>
      </c>
      <c r="M269" s="314" t="str">
        <f t="shared" ref="M269:M332" si="92">IF(G269,M268*(K268*J268)/(L269*I269),"")</f>
        <v/>
      </c>
      <c r="N269" s="305" t="str">
        <f t="shared" ref="N269:N332" si="93">IF(AND(G269=1,I269&lt;=$B$5),M269,"")</f>
        <v/>
      </c>
      <c r="O269" s="327" t="e">
        <f t="shared" si="84"/>
        <v>#NUM!</v>
      </c>
      <c r="P269" s="305"/>
      <c r="Q269" s="303">
        <f t="shared" si="83"/>
        <v>0</v>
      </c>
      <c r="R269" s="304">
        <f t="shared" si="87"/>
        <v>-162</v>
      </c>
      <c r="S269" s="305" t="str">
        <f t="shared" ref="S269:S332" si="94">IF(Q269,R269,"")</f>
        <v/>
      </c>
      <c r="T269" s="305" t="str">
        <f t="shared" ref="T269:T332" si="95">IF(Q269,$D$5-R269,"")</f>
        <v/>
      </c>
      <c r="U269" s="305" t="str">
        <f t="shared" ref="U269:U332" si="96">IF(Q269,$B$7-R269,"")</f>
        <v/>
      </c>
      <c r="V269" s="305" t="str">
        <f t="shared" ref="V269:V332" si="97">IF(Q269,$D$7-SUM(S269:U269),"")</f>
        <v/>
      </c>
      <c r="W269" s="314" t="str">
        <f t="shared" ref="W269:W332" si="98">IF(Q269,W268*(S268*V268)/(U269*T269),"")</f>
        <v/>
      </c>
      <c r="X269" s="314" t="str">
        <f t="shared" ref="X269:X332" si="99">IF(AND(Q269=1,S269&gt;=$B$5),W269,"")</f>
        <v/>
      </c>
      <c r="Y269" s="326" t="str">
        <f t="shared" si="85"/>
        <v/>
      </c>
    </row>
    <row r="270" spans="7:25" x14ac:dyDescent="0.25">
      <c r="G270" s="303">
        <f t="shared" si="82"/>
        <v>0</v>
      </c>
      <c r="H270" s="304">
        <f t="shared" si="86"/>
        <v>263</v>
      </c>
      <c r="I270" s="305" t="str">
        <f t="shared" si="88"/>
        <v/>
      </c>
      <c r="J270" s="305" t="str">
        <f t="shared" si="89"/>
        <v/>
      </c>
      <c r="K270" s="305" t="str">
        <f t="shared" si="90"/>
        <v/>
      </c>
      <c r="L270" s="305" t="str">
        <f t="shared" si="91"/>
        <v/>
      </c>
      <c r="M270" s="314" t="str">
        <f t="shared" si="92"/>
        <v/>
      </c>
      <c r="N270" s="305" t="str">
        <f t="shared" si="93"/>
        <v/>
      </c>
      <c r="O270" s="327" t="e">
        <f t="shared" si="84"/>
        <v>#NUM!</v>
      </c>
      <c r="P270" s="305"/>
      <c r="Q270" s="303">
        <f t="shared" si="83"/>
        <v>0</v>
      </c>
      <c r="R270" s="304">
        <f t="shared" si="87"/>
        <v>-163</v>
      </c>
      <c r="S270" s="305" t="str">
        <f t="shared" si="94"/>
        <v/>
      </c>
      <c r="T270" s="305" t="str">
        <f t="shared" si="95"/>
        <v/>
      </c>
      <c r="U270" s="305" t="str">
        <f t="shared" si="96"/>
        <v/>
      </c>
      <c r="V270" s="305" t="str">
        <f t="shared" si="97"/>
        <v/>
      </c>
      <c r="W270" s="314" t="str">
        <f t="shared" si="98"/>
        <v/>
      </c>
      <c r="X270" s="314" t="str">
        <f t="shared" si="99"/>
        <v/>
      </c>
      <c r="Y270" s="326" t="str">
        <f t="shared" si="85"/>
        <v/>
      </c>
    </row>
    <row r="271" spans="7:25" x14ac:dyDescent="0.25">
      <c r="G271" s="303">
        <f t="shared" si="82"/>
        <v>0</v>
      </c>
      <c r="H271" s="304">
        <f t="shared" si="86"/>
        <v>264</v>
      </c>
      <c r="I271" s="305" t="str">
        <f t="shared" si="88"/>
        <v/>
      </c>
      <c r="J271" s="305" t="str">
        <f t="shared" si="89"/>
        <v/>
      </c>
      <c r="K271" s="305" t="str">
        <f t="shared" si="90"/>
        <v/>
      </c>
      <c r="L271" s="305" t="str">
        <f t="shared" si="91"/>
        <v/>
      </c>
      <c r="M271" s="314" t="str">
        <f t="shared" si="92"/>
        <v/>
      </c>
      <c r="N271" s="305" t="str">
        <f t="shared" si="93"/>
        <v/>
      </c>
      <c r="O271" s="327" t="e">
        <f t="shared" si="84"/>
        <v>#NUM!</v>
      </c>
      <c r="P271" s="305"/>
      <c r="Q271" s="303">
        <f t="shared" si="83"/>
        <v>0</v>
      </c>
      <c r="R271" s="304">
        <f t="shared" si="87"/>
        <v>-164</v>
      </c>
      <c r="S271" s="305" t="str">
        <f t="shared" si="94"/>
        <v/>
      </c>
      <c r="T271" s="305" t="str">
        <f t="shared" si="95"/>
        <v/>
      </c>
      <c r="U271" s="305" t="str">
        <f t="shared" si="96"/>
        <v/>
      </c>
      <c r="V271" s="305" t="str">
        <f t="shared" si="97"/>
        <v/>
      </c>
      <c r="W271" s="314" t="str">
        <f t="shared" si="98"/>
        <v/>
      </c>
      <c r="X271" s="314" t="str">
        <f t="shared" si="99"/>
        <v/>
      </c>
      <c r="Y271" s="326" t="str">
        <f t="shared" si="85"/>
        <v/>
      </c>
    </row>
    <row r="272" spans="7:25" x14ac:dyDescent="0.25">
      <c r="G272" s="303">
        <f t="shared" si="82"/>
        <v>0</v>
      </c>
      <c r="H272" s="304">
        <f t="shared" si="86"/>
        <v>265</v>
      </c>
      <c r="I272" s="305" t="str">
        <f t="shared" si="88"/>
        <v/>
      </c>
      <c r="J272" s="305" t="str">
        <f t="shared" si="89"/>
        <v/>
      </c>
      <c r="K272" s="305" t="str">
        <f t="shared" si="90"/>
        <v/>
      </c>
      <c r="L272" s="305" t="str">
        <f t="shared" si="91"/>
        <v/>
      </c>
      <c r="M272" s="314" t="str">
        <f t="shared" si="92"/>
        <v/>
      </c>
      <c r="N272" s="305" t="str">
        <f t="shared" si="93"/>
        <v/>
      </c>
      <c r="O272" s="327" t="e">
        <f t="shared" si="84"/>
        <v>#NUM!</v>
      </c>
      <c r="P272" s="305"/>
      <c r="Q272" s="303">
        <f t="shared" si="83"/>
        <v>0</v>
      </c>
      <c r="R272" s="304">
        <f t="shared" si="87"/>
        <v>-165</v>
      </c>
      <c r="S272" s="305" t="str">
        <f t="shared" si="94"/>
        <v/>
      </c>
      <c r="T272" s="305" t="str">
        <f t="shared" si="95"/>
        <v/>
      </c>
      <c r="U272" s="305" t="str">
        <f t="shared" si="96"/>
        <v/>
      </c>
      <c r="V272" s="305" t="str">
        <f t="shared" si="97"/>
        <v/>
      </c>
      <c r="W272" s="314" t="str">
        <f t="shared" si="98"/>
        <v/>
      </c>
      <c r="X272" s="314" t="str">
        <f t="shared" si="99"/>
        <v/>
      </c>
      <c r="Y272" s="326" t="str">
        <f t="shared" si="85"/>
        <v/>
      </c>
    </row>
    <row r="273" spans="7:25" x14ac:dyDescent="0.25">
      <c r="G273" s="303">
        <f t="shared" si="82"/>
        <v>0</v>
      </c>
      <c r="H273" s="304">
        <f t="shared" si="86"/>
        <v>266</v>
      </c>
      <c r="I273" s="305" t="str">
        <f t="shared" si="88"/>
        <v/>
      </c>
      <c r="J273" s="305" t="str">
        <f t="shared" si="89"/>
        <v/>
      </c>
      <c r="K273" s="305" t="str">
        <f t="shared" si="90"/>
        <v/>
      </c>
      <c r="L273" s="305" t="str">
        <f t="shared" si="91"/>
        <v/>
      </c>
      <c r="M273" s="314" t="str">
        <f t="shared" si="92"/>
        <v/>
      </c>
      <c r="N273" s="305" t="str">
        <f t="shared" si="93"/>
        <v/>
      </c>
      <c r="O273" s="327" t="e">
        <f t="shared" si="84"/>
        <v>#NUM!</v>
      </c>
      <c r="P273" s="305"/>
      <c r="Q273" s="303">
        <f t="shared" si="83"/>
        <v>0</v>
      </c>
      <c r="R273" s="304">
        <f t="shared" si="87"/>
        <v>-166</v>
      </c>
      <c r="S273" s="305" t="str">
        <f t="shared" si="94"/>
        <v/>
      </c>
      <c r="T273" s="305" t="str">
        <f t="shared" si="95"/>
        <v/>
      </c>
      <c r="U273" s="305" t="str">
        <f t="shared" si="96"/>
        <v/>
      </c>
      <c r="V273" s="305" t="str">
        <f t="shared" si="97"/>
        <v/>
      </c>
      <c r="W273" s="314" t="str">
        <f t="shared" si="98"/>
        <v/>
      </c>
      <c r="X273" s="314" t="str">
        <f t="shared" si="99"/>
        <v/>
      </c>
      <c r="Y273" s="326" t="str">
        <f t="shared" si="85"/>
        <v/>
      </c>
    </row>
    <row r="274" spans="7:25" x14ac:dyDescent="0.25">
      <c r="G274" s="303">
        <f t="shared" si="82"/>
        <v>0</v>
      </c>
      <c r="H274" s="304">
        <f t="shared" si="86"/>
        <v>267</v>
      </c>
      <c r="I274" s="305" t="str">
        <f t="shared" si="88"/>
        <v/>
      </c>
      <c r="J274" s="305" t="str">
        <f t="shared" si="89"/>
        <v/>
      </c>
      <c r="K274" s="305" t="str">
        <f t="shared" si="90"/>
        <v/>
      </c>
      <c r="L274" s="305" t="str">
        <f t="shared" si="91"/>
        <v/>
      </c>
      <c r="M274" s="314" t="str">
        <f t="shared" si="92"/>
        <v/>
      </c>
      <c r="N274" s="305" t="str">
        <f t="shared" si="93"/>
        <v/>
      </c>
      <c r="O274" s="327" t="e">
        <f t="shared" si="84"/>
        <v>#NUM!</v>
      </c>
      <c r="P274" s="305"/>
      <c r="Q274" s="303">
        <f t="shared" si="83"/>
        <v>0</v>
      </c>
      <c r="R274" s="304">
        <f t="shared" si="87"/>
        <v>-167</v>
      </c>
      <c r="S274" s="305" t="str">
        <f t="shared" si="94"/>
        <v/>
      </c>
      <c r="T274" s="305" t="str">
        <f t="shared" si="95"/>
        <v/>
      </c>
      <c r="U274" s="305" t="str">
        <f t="shared" si="96"/>
        <v/>
      </c>
      <c r="V274" s="305" t="str">
        <f t="shared" si="97"/>
        <v/>
      </c>
      <c r="W274" s="314" t="str">
        <f t="shared" si="98"/>
        <v/>
      </c>
      <c r="X274" s="314" t="str">
        <f t="shared" si="99"/>
        <v/>
      </c>
      <c r="Y274" s="326" t="str">
        <f t="shared" si="85"/>
        <v/>
      </c>
    </row>
    <row r="275" spans="7:25" x14ac:dyDescent="0.25">
      <c r="G275" s="303">
        <f t="shared" si="82"/>
        <v>0</v>
      </c>
      <c r="H275" s="304">
        <f t="shared" si="86"/>
        <v>268</v>
      </c>
      <c r="I275" s="305" t="str">
        <f t="shared" si="88"/>
        <v/>
      </c>
      <c r="J275" s="305" t="str">
        <f t="shared" si="89"/>
        <v/>
      </c>
      <c r="K275" s="305" t="str">
        <f t="shared" si="90"/>
        <v/>
      </c>
      <c r="L275" s="305" t="str">
        <f t="shared" si="91"/>
        <v/>
      </c>
      <c r="M275" s="314" t="str">
        <f t="shared" si="92"/>
        <v/>
      </c>
      <c r="N275" s="305" t="str">
        <f t="shared" si="93"/>
        <v/>
      </c>
      <c r="O275" s="327" t="e">
        <f t="shared" si="84"/>
        <v>#NUM!</v>
      </c>
      <c r="P275" s="305"/>
      <c r="Q275" s="303">
        <f t="shared" si="83"/>
        <v>0</v>
      </c>
      <c r="R275" s="304">
        <f t="shared" si="87"/>
        <v>-168</v>
      </c>
      <c r="S275" s="305" t="str">
        <f t="shared" si="94"/>
        <v/>
      </c>
      <c r="T275" s="305" t="str">
        <f t="shared" si="95"/>
        <v/>
      </c>
      <c r="U275" s="305" t="str">
        <f t="shared" si="96"/>
        <v/>
      </c>
      <c r="V275" s="305" t="str">
        <f t="shared" si="97"/>
        <v/>
      </c>
      <c r="W275" s="314" t="str">
        <f t="shared" si="98"/>
        <v/>
      </c>
      <c r="X275" s="314" t="str">
        <f t="shared" si="99"/>
        <v/>
      </c>
      <c r="Y275" s="326" t="str">
        <f t="shared" si="85"/>
        <v/>
      </c>
    </row>
    <row r="276" spans="7:25" x14ac:dyDescent="0.25">
      <c r="G276" s="303">
        <f t="shared" si="82"/>
        <v>0</v>
      </c>
      <c r="H276" s="304">
        <f t="shared" si="86"/>
        <v>269</v>
      </c>
      <c r="I276" s="305" t="str">
        <f t="shared" si="88"/>
        <v/>
      </c>
      <c r="J276" s="305" t="str">
        <f t="shared" si="89"/>
        <v/>
      </c>
      <c r="K276" s="305" t="str">
        <f t="shared" si="90"/>
        <v/>
      </c>
      <c r="L276" s="305" t="str">
        <f t="shared" si="91"/>
        <v/>
      </c>
      <c r="M276" s="314" t="str">
        <f t="shared" si="92"/>
        <v/>
      </c>
      <c r="N276" s="305" t="str">
        <f t="shared" si="93"/>
        <v/>
      </c>
      <c r="O276" s="327" t="e">
        <f t="shared" si="84"/>
        <v>#NUM!</v>
      </c>
      <c r="P276" s="305"/>
      <c r="Q276" s="303">
        <f t="shared" si="83"/>
        <v>0</v>
      </c>
      <c r="R276" s="304">
        <f t="shared" si="87"/>
        <v>-169</v>
      </c>
      <c r="S276" s="305" t="str">
        <f t="shared" si="94"/>
        <v/>
      </c>
      <c r="T276" s="305" t="str">
        <f t="shared" si="95"/>
        <v/>
      </c>
      <c r="U276" s="305" t="str">
        <f t="shared" si="96"/>
        <v/>
      </c>
      <c r="V276" s="305" t="str">
        <f t="shared" si="97"/>
        <v/>
      </c>
      <c r="W276" s="314" t="str">
        <f t="shared" si="98"/>
        <v/>
      </c>
      <c r="X276" s="314" t="str">
        <f t="shared" si="99"/>
        <v/>
      </c>
      <c r="Y276" s="326" t="str">
        <f t="shared" si="85"/>
        <v/>
      </c>
    </row>
    <row r="277" spans="7:25" x14ac:dyDescent="0.25">
      <c r="G277" s="303">
        <f t="shared" si="82"/>
        <v>0</v>
      </c>
      <c r="H277" s="304">
        <f t="shared" si="86"/>
        <v>270</v>
      </c>
      <c r="I277" s="305" t="str">
        <f t="shared" si="88"/>
        <v/>
      </c>
      <c r="J277" s="305" t="str">
        <f t="shared" si="89"/>
        <v/>
      </c>
      <c r="K277" s="305" t="str">
        <f t="shared" si="90"/>
        <v/>
      </c>
      <c r="L277" s="305" t="str">
        <f t="shared" si="91"/>
        <v/>
      </c>
      <c r="M277" s="314" t="str">
        <f t="shared" si="92"/>
        <v/>
      </c>
      <c r="N277" s="305" t="str">
        <f t="shared" si="93"/>
        <v/>
      </c>
      <c r="O277" s="327" t="e">
        <f t="shared" si="84"/>
        <v>#NUM!</v>
      </c>
      <c r="P277" s="305"/>
      <c r="Q277" s="303">
        <f t="shared" si="83"/>
        <v>0</v>
      </c>
      <c r="R277" s="304">
        <f t="shared" si="87"/>
        <v>-170</v>
      </c>
      <c r="S277" s="305" t="str">
        <f t="shared" si="94"/>
        <v/>
      </c>
      <c r="T277" s="305" t="str">
        <f t="shared" si="95"/>
        <v/>
      </c>
      <c r="U277" s="305" t="str">
        <f t="shared" si="96"/>
        <v/>
      </c>
      <c r="V277" s="305" t="str">
        <f t="shared" si="97"/>
        <v/>
      </c>
      <c r="W277" s="314" t="str">
        <f t="shared" si="98"/>
        <v/>
      </c>
      <c r="X277" s="314" t="str">
        <f t="shared" si="99"/>
        <v/>
      </c>
      <c r="Y277" s="326" t="str">
        <f t="shared" si="85"/>
        <v/>
      </c>
    </row>
    <row r="278" spans="7:25" x14ac:dyDescent="0.25">
      <c r="G278" s="303">
        <f t="shared" si="82"/>
        <v>0</v>
      </c>
      <c r="H278" s="304">
        <f t="shared" si="86"/>
        <v>271</v>
      </c>
      <c r="I278" s="305" t="str">
        <f t="shared" si="88"/>
        <v/>
      </c>
      <c r="J278" s="305" t="str">
        <f t="shared" si="89"/>
        <v/>
      </c>
      <c r="K278" s="305" t="str">
        <f t="shared" si="90"/>
        <v/>
      </c>
      <c r="L278" s="305" t="str">
        <f t="shared" si="91"/>
        <v/>
      </c>
      <c r="M278" s="314" t="str">
        <f t="shared" si="92"/>
        <v/>
      </c>
      <c r="N278" s="305" t="str">
        <f t="shared" si="93"/>
        <v/>
      </c>
      <c r="O278" s="327" t="e">
        <f t="shared" si="84"/>
        <v>#NUM!</v>
      </c>
      <c r="P278" s="305"/>
      <c r="Q278" s="303">
        <f t="shared" si="83"/>
        <v>0</v>
      </c>
      <c r="R278" s="304">
        <f t="shared" si="87"/>
        <v>-171</v>
      </c>
      <c r="S278" s="305" t="str">
        <f t="shared" si="94"/>
        <v/>
      </c>
      <c r="T278" s="305" t="str">
        <f t="shared" si="95"/>
        <v/>
      </c>
      <c r="U278" s="305" t="str">
        <f t="shared" si="96"/>
        <v/>
      </c>
      <c r="V278" s="305" t="str">
        <f t="shared" si="97"/>
        <v/>
      </c>
      <c r="W278" s="314" t="str">
        <f t="shared" si="98"/>
        <v/>
      </c>
      <c r="X278" s="314" t="str">
        <f t="shared" si="99"/>
        <v/>
      </c>
      <c r="Y278" s="326" t="str">
        <f t="shared" si="85"/>
        <v/>
      </c>
    </row>
    <row r="279" spans="7:25" x14ac:dyDescent="0.25">
      <c r="G279" s="303">
        <f t="shared" si="82"/>
        <v>0</v>
      </c>
      <c r="H279" s="304">
        <f t="shared" si="86"/>
        <v>272</v>
      </c>
      <c r="I279" s="305" t="str">
        <f t="shared" si="88"/>
        <v/>
      </c>
      <c r="J279" s="305" t="str">
        <f t="shared" si="89"/>
        <v/>
      </c>
      <c r="K279" s="305" t="str">
        <f t="shared" si="90"/>
        <v/>
      </c>
      <c r="L279" s="305" t="str">
        <f t="shared" si="91"/>
        <v/>
      </c>
      <c r="M279" s="314" t="str">
        <f t="shared" si="92"/>
        <v/>
      </c>
      <c r="N279" s="305" t="str">
        <f t="shared" si="93"/>
        <v/>
      </c>
      <c r="O279" s="327" t="e">
        <f t="shared" si="84"/>
        <v>#NUM!</v>
      </c>
      <c r="P279" s="305"/>
      <c r="Q279" s="303">
        <f t="shared" si="83"/>
        <v>0</v>
      </c>
      <c r="R279" s="304">
        <f t="shared" si="87"/>
        <v>-172</v>
      </c>
      <c r="S279" s="305" t="str">
        <f t="shared" si="94"/>
        <v/>
      </c>
      <c r="T279" s="305" t="str">
        <f t="shared" si="95"/>
        <v/>
      </c>
      <c r="U279" s="305" t="str">
        <f t="shared" si="96"/>
        <v/>
      </c>
      <c r="V279" s="305" t="str">
        <f t="shared" si="97"/>
        <v/>
      </c>
      <c r="W279" s="314" t="str">
        <f t="shared" si="98"/>
        <v/>
      </c>
      <c r="X279" s="314" t="str">
        <f t="shared" si="99"/>
        <v/>
      </c>
      <c r="Y279" s="326" t="str">
        <f t="shared" si="85"/>
        <v/>
      </c>
    </row>
    <row r="280" spans="7:25" x14ac:dyDescent="0.25">
      <c r="G280" s="303">
        <f t="shared" si="82"/>
        <v>0</v>
      </c>
      <c r="H280" s="304">
        <f t="shared" si="86"/>
        <v>273</v>
      </c>
      <c r="I280" s="305" t="str">
        <f t="shared" si="88"/>
        <v/>
      </c>
      <c r="J280" s="305" t="str">
        <f t="shared" si="89"/>
        <v/>
      </c>
      <c r="K280" s="305" t="str">
        <f t="shared" si="90"/>
        <v/>
      </c>
      <c r="L280" s="305" t="str">
        <f t="shared" si="91"/>
        <v/>
      </c>
      <c r="M280" s="314" t="str">
        <f t="shared" si="92"/>
        <v/>
      </c>
      <c r="N280" s="305" t="str">
        <f t="shared" si="93"/>
        <v/>
      </c>
      <c r="O280" s="327" t="e">
        <f t="shared" si="84"/>
        <v>#NUM!</v>
      </c>
      <c r="P280" s="305"/>
      <c r="Q280" s="303">
        <f t="shared" si="83"/>
        <v>0</v>
      </c>
      <c r="R280" s="304">
        <f t="shared" si="87"/>
        <v>-173</v>
      </c>
      <c r="S280" s="305" t="str">
        <f t="shared" si="94"/>
        <v/>
      </c>
      <c r="T280" s="305" t="str">
        <f t="shared" si="95"/>
        <v/>
      </c>
      <c r="U280" s="305" t="str">
        <f t="shared" si="96"/>
        <v/>
      </c>
      <c r="V280" s="305" t="str">
        <f t="shared" si="97"/>
        <v/>
      </c>
      <c r="W280" s="314" t="str">
        <f t="shared" si="98"/>
        <v/>
      </c>
      <c r="X280" s="314" t="str">
        <f t="shared" si="99"/>
        <v/>
      </c>
      <c r="Y280" s="326" t="str">
        <f t="shared" si="85"/>
        <v/>
      </c>
    </row>
    <row r="281" spans="7:25" x14ac:dyDescent="0.25">
      <c r="G281" s="303">
        <f t="shared" si="82"/>
        <v>0</v>
      </c>
      <c r="H281" s="304">
        <f t="shared" si="86"/>
        <v>274</v>
      </c>
      <c r="I281" s="305" t="str">
        <f t="shared" si="88"/>
        <v/>
      </c>
      <c r="J281" s="305" t="str">
        <f t="shared" si="89"/>
        <v/>
      </c>
      <c r="K281" s="305" t="str">
        <f t="shared" si="90"/>
        <v/>
      </c>
      <c r="L281" s="305" t="str">
        <f t="shared" si="91"/>
        <v/>
      </c>
      <c r="M281" s="314" t="str">
        <f t="shared" si="92"/>
        <v/>
      </c>
      <c r="N281" s="305" t="str">
        <f t="shared" si="93"/>
        <v/>
      </c>
      <c r="O281" s="327" t="e">
        <f t="shared" si="84"/>
        <v>#NUM!</v>
      </c>
      <c r="P281" s="305"/>
      <c r="Q281" s="303">
        <f t="shared" si="83"/>
        <v>0</v>
      </c>
      <c r="R281" s="304">
        <f t="shared" si="87"/>
        <v>-174</v>
      </c>
      <c r="S281" s="305" t="str">
        <f t="shared" si="94"/>
        <v/>
      </c>
      <c r="T281" s="305" t="str">
        <f t="shared" si="95"/>
        <v/>
      </c>
      <c r="U281" s="305" t="str">
        <f t="shared" si="96"/>
        <v/>
      </c>
      <c r="V281" s="305" t="str">
        <f t="shared" si="97"/>
        <v/>
      </c>
      <c r="W281" s="314" t="str">
        <f t="shared" si="98"/>
        <v/>
      </c>
      <c r="X281" s="314" t="str">
        <f t="shared" si="99"/>
        <v/>
      </c>
      <c r="Y281" s="326" t="str">
        <f t="shared" si="85"/>
        <v/>
      </c>
    </row>
    <row r="282" spans="7:25" x14ac:dyDescent="0.25">
      <c r="G282" s="303">
        <f t="shared" si="82"/>
        <v>0</v>
      </c>
      <c r="H282" s="304">
        <f t="shared" si="86"/>
        <v>275</v>
      </c>
      <c r="I282" s="305" t="str">
        <f t="shared" si="88"/>
        <v/>
      </c>
      <c r="J282" s="305" t="str">
        <f t="shared" si="89"/>
        <v/>
      </c>
      <c r="K282" s="305" t="str">
        <f t="shared" si="90"/>
        <v/>
      </c>
      <c r="L282" s="305" t="str">
        <f t="shared" si="91"/>
        <v/>
      </c>
      <c r="M282" s="314" t="str">
        <f t="shared" si="92"/>
        <v/>
      </c>
      <c r="N282" s="305" t="str">
        <f t="shared" si="93"/>
        <v/>
      </c>
      <c r="O282" s="327" t="e">
        <f t="shared" si="84"/>
        <v>#NUM!</v>
      </c>
      <c r="P282" s="305"/>
      <c r="Q282" s="303">
        <f t="shared" si="83"/>
        <v>0</v>
      </c>
      <c r="R282" s="304">
        <f t="shared" si="87"/>
        <v>-175</v>
      </c>
      <c r="S282" s="305" t="str">
        <f t="shared" si="94"/>
        <v/>
      </c>
      <c r="T282" s="305" t="str">
        <f t="shared" si="95"/>
        <v/>
      </c>
      <c r="U282" s="305" t="str">
        <f t="shared" si="96"/>
        <v/>
      </c>
      <c r="V282" s="305" t="str">
        <f t="shared" si="97"/>
        <v/>
      </c>
      <c r="W282" s="314" t="str">
        <f t="shared" si="98"/>
        <v/>
      </c>
      <c r="X282" s="314" t="str">
        <f t="shared" si="99"/>
        <v/>
      </c>
      <c r="Y282" s="326" t="str">
        <f t="shared" si="85"/>
        <v/>
      </c>
    </row>
    <row r="283" spans="7:25" x14ac:dyDescent="0.25">
      <c r="G283" s="303">
        <f t="shared" si="82"/>
        <v>0</v>
      </c>
      <c r="H283" s="304">
        <f t="shared" si="86"/>
        <v>276</v>
      </c>
      <c r="I283" s="305" t="str">
        <f t="shared" si="88"/>
        <v/>
      </c>
      <c r="J283" s="305" t="str">
        <f t="shared" si="89"/>
        <v/>
      </c>
      <c r="K283" s="305" t="str">
        <f t="shared" si="90"/>
        <v/>
      </c>
      <c r="L283" s="305" t="str">
        <f t="shared" si="91"/>
        <v/>
      </c>
      <c r="M283" s="314" t="str">
        <f t="shared" si="92"/>
        <v/>
      </c>
      <c r="N283" s="305" t="str">
        <f t="shared" si="93"/>
        <v/>
      </c>
      <c r="O283" s="327" t="e">
        <f t="shared" si="84"/>
        <v>#NUM!</v>
      </c>
      <c r="P283" s="305"/>
      <c r="Q283" s="303">
        <f t="shared" si="83"/>
        <v>0</v>
      </c>
      <c r="R283" s="304">
        <f t="shared" si="87"/>
        <v>-176</v>
      </c>
      <c r="S283" s="305" t="str">
        <f t="shared" si="94"/>
        <v/>
      </c>
      <c r="T283" s="305" t="str">
        <f t="shared" si="95"/>
        <v/>
      </c>
      <c r="U283" s="305" t="str">
        <f t="shared" si="96"/>
        <v/>
      </c>
      <c r="V283" s="305" t="str">
        <f t="shared" si="97"/>
        <v/>
      </c>
      <c r="W283" s="314" t="str">
        <f t="shared" si="98"/>
        <v/>
      </c>
      <c r="X283" s="314" t="str">
        <f t="shared" si="99"/>
        <v/>
      </c>
      <c r="Y283" s="326" t="str">
        <f t="shared" si="85"/>
        <v/>
      </c>
    </row>
    <row r="284" spans="7:25" x14ac:dyDescent="0.25">
      <c r="G284" s="303">
        <f t="shared" si="82"/>
        <v>0</v>
      </c>
      <c r="H284" s="304">
        <f t="shared" si="86"/>
        <v>277</v>
      </c>
      <c r="I284" s="305" t="str">
        <f t="shared" si="88"/>
        <v/>
      </c>
      <c r="J284" s="305" t="str">
        <f t="shared" si="89"/>
        <v/>
      </c>
      <c r="K284" s="305" t="str">
        <f t="shared" si="90"/>
        <v/>
      </c>
      <c r="L284" s="305" t="str">
        <f t="shared" si="91"/>
        <v/>
      </c>
      <c r="M284" s="314" t="str">
        <f t="shared" si="92"/>
        <v/>
      </c>
      <c r="N284" s="305" t="str">
        <f t="shared" si="93"/>
        <v/>
      </c>
      <c r="O284" s="327" t="e">
        <f t="shared" si="84"/>
        <v>#NUM!</v>
      </c>
      <c r="P284" s="305"/>
      <c r="Q284" s="303">
        <f t="shared" si="83"/>
        <v>0</v>
      </c>
      <c r="R284" s="304">
        <f t="shared" si="87"/>
        <v>-177</v>
      </c>
      <c r="S284" s="305" t="str">
        <f t="shared" si="94"/>
        <v/>
      </c>
      <c r="T284" s="305" t="str">
        <f t="shared" si="95"/>
        <v/>
      </c>
      <c r="U284" s="305" t="str">
        <f t="shared" si="96"/>
        <v/>
      </c>
      <c r="V284" s="305" t="str">
        <f t="shared" si="97"/>
        <v/>
      </c>
      <c r="W284" s="314" t="str">
        <f t="shared" si="98"/>
        <v/>
      </c>
      <c r="X284" s="314" t="str">
        <f t="shared" si="99"/>
        <v/>
      </c>
      <c r="Y284" s="326" t="str">
        <f t="shared" si="85"/>
        <v/>
      </c>
    </row>
    <row r="285" spans="7:25" x14ac:dyDescent="0.25">
      <c r="G285" s="303">
        <f t="shared" si="82"/>
        <v>0</v>
      </c>
      <c r="H285" s="304">
        <f t="shared" si="86"/>
        <v>278</v>
      </c>
      <c r="I285" s="305" t="str">
        <f t="shared" si="88"/>
        <v/>
      </c>
      <c r="J285" s="305" t="str">
        <f t="shared" si="89"/>
        <v/>
      </c>
      <c r="K285" s="305" t="str">
        <f t="shared" si="90"/>
        <v/>
      </c>
      <c r="L285" s="305" t="str">
        <f t="shared" si="91"/>
        <v/>
      </c>
      <c r="M285" s="314" t="str">
        <f t="shared" si="92"/>
        <v/>
      </c>
      <c r="N285" s="305" t="str">
        <f t="shared" si="93"/>
        <v/>
      </c>
      <c r="O285" s="327" t="e">
        <f t="shared" si="84"/>
        <v>#NUM!</v>
      </c>
      <c r="P285" s="305"/>
      <c r="Q285" s="303">
        <f t="shared" si="83"/>
        <v>0</v>
      </c>
      <c r="R285" s="304">
        <f t="shared" si="87"/>
        <v>-178</v>
      </c>
      <c r="S285" s="305" t="str">
        <f t="shared" si="94"/>
        <v/>
      </c>
      <c r="T285" s="305" t="str">
        <f t="shared" si="95"/>
        <v/>
      </c>
      <c r="U285" s="305" t="str">
        <f t="shared" si="96"/>
        <v/>
      </c>
      <c r="V285" s="305" t="str">
        <f t="shared" si="97"/>
        <v/>
      </c>
      <c r="W285" s="314" t="str">
        <f t="shared" si="98"/>
        <v/>
      </c>
      <c r="X285" s="314" t="str">
        <f t="shared" si="99"/>
        <v/>
      </c>
      <c r="Y285" s="326" t="str">
        <f t="shared" si="85"/>
        <v/>
      </c>
    </row>
    <row r="286" spans="7:25" x14ac:dyDescent="0.25">
      <c r="G286" s="303">
        <f t="shared" si="82"/>
        <v>0</v>
      </c>
      <c r="H286" s="304">
        <f t="shared" si="86"/>
        <v>279</v>
      </c>
      <c r="I286" s="305" t="str">
        <f t="shared" si="88"/>
        <v/>
      </c>
      <c r="J286" s="305" t="str">
        <f t="shared" si="89"/>
        <v/>
      </c>
      <c r="K286" s="305" t="str">
        <f t="shared" si="90"/>
        <v/>
      </c>
      <c r="L286" s="305" t="str">
        <f t="shared" si="91"/>
        <v/>
      </c>
      <c r="M286" s="314" t="str">
        <f t="shared" si="92"/>
        <v/>
      </c>
      <c r="N286" s="305" t="str">
        <f t="shared" si="93"/>
        <v/>
      </c>
      <c r="O286" s="327" t="e">
        <f t="shared" si="84"/>
        <v>#NUM!</v>
      </c>
      <c r="P286" s="305"/>
      <c r="Q286" s="303">
        <f t="shared" si="83"/>
        <v>0</v>
      </c>
      <c r="R286" s="304">
        <f t="shared" si="87"/>
        <v>-179</v>
      </c>
      <c r="S286" s="305" t="str">
        <f t="shared" si="94"/>
        <v/>
      </c>
      <c r="T286" s="305" t="str">
        <f t="shared" si="95"/>
        <v/>
      </c>
      <c r="U286" s="305" t="str">
        <f t="shared" si="96"/>
        <v/>
      </c>
      <c r="V286" s="305" t="str">
        <f t="shared" si="97"/>
        <v/>
      </c>
      <c r="W286" s="314" t="str">
        <f t="shared" si="98"/>
        <v/>
      </c>
      <c r="X286" s="314" t="str">
        <f t="shared" si="99"/>
        <v/>
      </c>
      <c r="Y286" s="326" t="str">
        <f t="shared" si="85"/>
        <v/>
      </c>
    </row>
    <row r="287" spans="7:25" x14ac:dyDescent="0.25">
      <c r="G287" s="303">
        <f t="shared" si="82"/>
        <v>0</v>
      </c>
      <c r="H287" s="304">
        <f t="shared" si="86"/>
        <v>280</v>
      </c>
      <c r="I287" s="305" t="str">
        <f t="shared" si="88"/>
        <v/>
      </c>
      <c r="J287" s="305" t="str">
        <f t="shared" si="89"/>
        <v/>
      </c>
      <c r="K287" s="305" t="str">
        <f t="shared" si="90"/>
        <v/>
      </c>
      <c r="L287" s="305" t="str">
        <f t="shared" si="91"/>
        <v/>
      </c>
      <c r="M287" s="314" t="str">
        <f t="shared" si="92"/>
        <v/>
      </c>
      <c r="N287" s="305" t="str">
        <f t="shared" si="93"/>
        <v/>
      </c>
      <c r="O287" s="327" t="e">
        <f t="shared" si="84"/>
        <v>#NUM!</v>
      </c>
      <c r="P287" s="305"/>
      <c r="Q287" s="303">
        <f t="shared" si="83"/>
        <v>0</v>
      </c>
      <c r="R287" s="304">
        <f t="shared" si="87"/>
        <v>-180</v>
      </c>
      <c r="S287" s="305" t="str">
        <f t="shared" si="94"/>
        <v/>
      </c>
      <c r="T287" s="305" t="str">
        <f t="shared" si="95"/>
        <v/>
      </c>
      <c r="U287" s="305" t="str">
        <f t="shared" si="96"/>
        <v/>
      </c>
      <c r="V287" s="305" t="str">
        <f t="shared" si="97"/>
        <v/>
      </c>
      <c r="W287" s="314" t="str">
        <f t="shared" si="98"/>
        <v/>
      </c>
      <c r="X287" s="314" t="str">
        <f t="shared" si="99"/>
        <v/>
      </c>
      <c r="Y287" s="326" t="str">
        <f t="shared" si="85"/>
        <v/>
      </c>
    </row>
    <row r="288" spans="7:25" x14ac:dyDescent="0.25">
      <c r="G288" s="303">
        <f t="shared" si="82"/>
        <v>0</v>
      </c>
      <c r="H288" s="304">
        <f t="shared" si="86"/>
        <v>281</v>
      </c>
      <c r="I288" s="305" t="str">
        <f t="shared" si="88"/>
        <v/>
      </c>
      <c r="J288" s="305" t="str">
        <f t="shared" si="89"/>
        <v/>
      </c>
      <c r="K288" s="305" t="str">
        <f t="shared" si="90"/>
        <v/>
      </c>
      <c r="L288" s="305" t="str">
        <f t="shared" si="91"/>
        <v/>
      </c>
      <c r="M288" s="314" t="str">
        <f t="shared" si="92"/>
        <v/>
      </c>
      <c r="N288" s="305" t="str">
        <f t="shared" si="93"/>
        <v/>
      </c>
      <c r="O288" s="327" t="e">
        <f t="shared" si="84"/>
        <v>#NUM!</v>
      </c>
      <c r="P288" s="305"/>
      <c r="Q288" s="303">
        <f t="shared" si="83"/>
        <v>0</v>
      </c>
      <c r="R288" s="304">
        <f t="shared" si="87"/>
        <v>-181</v>
      </c>
      <c r="S288" s="305" t="str">
        <f t="shared" si="94"/>
        <v/>
      </c>
      <c r="T288" s="305" t="str">
        <f t="shared" si="95"/>
        <v/>
      </c>
      <c r="U288" s="305" t="str">
        <f t="shared" si="96"/>
        <v/>
      </c>
      <c r="V288" s="305" t="str">
        <f t="shared" si="97"/>
        <v/>
      </c>
      <c r="W288" s="314" t="str">
        <f t="shared" si="98"/>
        <v/>
      </c>
      <c r="X288" s="314" t="str">
        <f t="shared" si="99"/>
        <v/>
      </c>
      <c r="Y288" s="326" t="str">
        <f t="shared" si="85"/>
        <v/>
      </c>
    </row>
    <row r="289" spans="7:25" x14ac:dyDescent="0.25">
      <c r="G289" s="303">
        <f t="shared" si="82"/>
        <v>0</v>
      </c>
      <c r="H289" s="304">
        <f t="shared" si="86"/>
        <v>282</v>
      </c>
      <c r="I289" s="305" t="str">
        <f t="shared" si="88"/>
        <v/>
      </c>
      <c r="J289" s="305" t="str">
        <f t="shared" si="89"/>
        <v/>
      </c>
      <c r="K289" s="305" t="str">
        <f t="shared" si="90"/>
        <v/>
      </c>
      <c r="L289" s="305" t="str">
        <f t="shared" si="91"/>
        <v/>
      </c>
      <c r="M289" s="314" t="str">
        <f t="shared" si="92"/>
        <v/>
      </c>
      <c r="N289" s="305" t="str">
        <f t="shared" si="93"/>
        <v/>
      </c>
      <c r="O289" s="327" t="e">
        <f t="shared" si="84"/>
        <v>#NUM!</v>
      </c>
      <c r="P289" s="305"/>
      <c r="Q289" s="303">
        <f t="shared" si="83"/>
        <v>0</v>
      </c>
      <c r="R289" s="304">
        <f t="shared" si="87"/>
        <v>-182</v>
      </c>
      <c r="S289" s="305" t="str">
        <f t="shared" si="94"/>
        <v/>
      </c>
      <c r="T289" s="305" t="str">
        <f t="shared" si="95"/>
        <v/>
      </c>
      <c r="U289" s="305" t="str">
        <f t="shared" si="96"/>
        <v/>
      </c>
      <c r="V289" s="305" t="str">
        <f t="shared" si="97"/>
        <v/>
      </c>
      <c r="W289" s="314" t="str">
        <f t="shared" si="98"/>
        <v/>
      </c>
      <c r="X289" s="314" t="str">
        <f t="shared" si="99"/>
        <v/>
      </c>
      <c r="Y289" s="326" t="str">
        <f t="shared" si="85"/>
        <v/>
      </c>
    </row>
    <row r="290" spans="7:25" x14ac:dyDescent="0.25">
      <c r="G290" s="303">
        <f t="shared" si="82"/>
        <v>0</v>
      </c>
      <c r="H290" s="304">
        <f t="shared" si="86"/>
        <v>283</v>
      </c>
      <c r="I290" s="305" t="str">
        <f t="shared" si="88"/>
        <v/>
      </c>
      <c r="J290" s="305" t="str">
        <f t="shared" si="89"/>
        <v/>
      </c>
      <c r="K290" s="305" t="str">
        <f t="shared" si="90"/>
        <v/>
      </c>
      <c r="L290" s="305" t="str">
        <f t="shared" si="91"/>
        <v/>
      </c>
      <c r="M290" s="314" t="str">
        <f t="shared" si="92"/>
        <v/>
      </c>
      <c r="N290" s="305" t="str">
        <f t="shared" si="93"/>
        <v/>
      </c>
      <c r="O290" s="327" t="e">
        <f t="shared" si="84"/>
        <v>#NUM!</v>
      </c>
      <c r="P290" s="305"/>
      <c r="Q290" s="303">
        <f t="shared" si="83"/>
        <v>0</v>
      </c>
      <c r="R290" s="304">
        <f t="shared" si="87"/>
        <v>-183</v>
      </c>
      <c r="S290" s="305" t="str">
        <f t="shared" si="94"/>
        <v/>
      </c>
      <c r="T290" s="305" t="str">
        <f t="shared" si="95"/>
        <v/>
      </c>
      <c r="U290" s="305" t="str">
        <f t="shared" si="96"/>
        <v/>
      </c>
      <c r="V290" s="305" t="str">
        <f t="shared" si="97"/>
        <v/>
      </c>
      <c r="W290" s="314" t="str">
        <f t="shared" si="98"/>
        <v/>
      </c>
      <c r="X290" s="314" t="str">
        <f t="shared" si="99"/>
        <v/>
      </c>
      <c r="Y290" s="326" t="str">
        <f t="shared" si="85"/>
        <v/>
      </c>
    </row>
    <row r="291" spans="7:25" x14ac:dyDescent="0.25">
      <c r="G291" s="303">
        <f t="shared" si="82"/>
        <v>0</v>
      </c>
      <c r="H291" s="304">
        <f t="shared" si="86"/>
        <v>284</v>
      </c>
      <c r="I291" s="305" t="str">
        <f t="shared" si="88"/>
        <v/>
      </c>
      <c r="J291" s="305" t="str">
        <f t="shared" si="89"/>
        <v/>
      </c>
      <c r="K291" s="305" t="str">
        <f t="shared" si="90"/>
        <v/>
      </c>
      <c r="L291" s="305" t="str">
        <f t="shared" si="91"/>
        <v/>
      </c>
      <c r="M291" s="314" t="str">
        <f t="shared" si="92"/>
        <v/>
      </c>
      <c r="N291" s="305" t="str">
        <f t="shared" si="93"/>
        <v/>
      </c>
      <c r="O291" s="327" t="e">
        <f t="shared" si="84"/>
        <v>#NUM!</v>
      </c>
      <c r="P291" s="305"/>
      <c r="Q291" s="303">
        <f t="shared" si="83"/>
        <v>0</v>
      </c>
      <c r="R291" s="304">
        <f t="shared" si="87"/>
        <v>-184</v>
      </c>
      <c r="S291" s="305" t="str">
        <f t="shared" si="94"/>
        <v/>
      </c>
      <c r="T291" s="305" t="str">
        <f t="shared" si="95"/>
        <v/>
      </c>
      <c r="U291" s="305" t="str">
        <f t="shared" si="96"/>
        <v/>
      </c>
      <c r="V291" s="305" t="str">
        <f t="shared" si="97"/>
        <v/>
      </c>
      <c r="W291" s="314" t="str">
        <f t="shared" si="98"/>
        <v/>
      </c>
      <c r="X291" s="314" t="str">
        <f t="shared" si="99"/>
        <v/>
      </c>
      <c r="Y291" s="326" t="str">
        <f t="shared" si="85"/>
        <v/>
      </c>
    </row>
    <row r="292" spans="7:25" x14ac:dyDescent="0.25">
      <c r="G292" s="303">
        <f t="shared" si="82"/>
        <v>0</v>
      </c>
      <c r="H292" s="304">
        <f t="shared" si="86"/>
        <v>285</v>
      </c>
      <c r="I292" s="305" t="str">
        <f t="shared" si="88"/>
        <v/>
      </c>
      <c r="J292" s="305" t="str">
        <f t="shared" si="89"/>
        <v/>
      </c>
      <c r="K292" s="305" t="str">
        <f t="shared" si="90"/>
        <v/>
      </c>
      <c r="L292" s="305" t="str">
        <f t="shared" si="91"/>
        <v/>
      </c>
      <c r="M292" s="314" t="str">
        <f t="shared" si="92"/>
        <v/>
      </c>
      <c r="N292" s="305" t="str">
        <f t="shared" si="93"/>
        <v/>
      </c>
      <c r="O292" s="327" t="e">
        <f t="shared" si="84"/>
        <v>#NUM!</v>
      </c>
      <c r="P292" s="305"/>
      <c r="Q292" s="303">
        <f t="shared" si="83"/>
        <v>0</v>
      </c>
      <c r="R292" s="304">
        <f t="shared" si="87"/>
        <v>-185</v>
      </c>
      <c r="S292" s="305" t="str">
        <f t="shared" si="94"/>
        <v/>
      </c>
      <c r="T292" s="305" t="str">
        <f t="shared" si="95"/>
        <v/>
      </c>
      <c r="U292" s="305" t="str">
        <f t="shared" si="96"/>
        <v/>
      </c>
      <c r="V292" s="305" t="str">
        <f t="shared" si="97"/>
        <v/>
      </c>
      <c r="W292" s="314" t="str">
        <f t="shared" si="98"/>
        <v/>
      </c>
      <c r="X292" s="314" t="str">
        <f t="shared" si="99"/>
        <v/>
      </c>
      <c r="Y292" s="326" t="str">
        <f t="shared" si="85"/>
        <v/>
      </c>
    </row>
    <row r="293" spans="7:25" x14ac:dyDescent="0.25">
      <c r="G293" s="303">
        <f t="shared" si="82"/>
        <v>0</v>
      </c>
      <c r="H293" s="304">
        <f t="shared" si="86"/>
        <v>286</v>
      </c>
      <c r="I293" s="305" t="str">
        <f t="shared" si="88"/>
        <v/>
      </c>
      <c r="J293" s="305" t="str">
        <f t="shared" si="89"/>
        <v/>
      </c>
      <c r="K293" s="305" t="str">
        <f t="shared" si="90"/>
        <v/>
      </c>
      <c r="L293" s="305" t="str">
        <f t="shared" si="91"/>
        <v/>
      </c>
      <c r="M293" s="314" t="str">
        <f t="shared" si="92"/>
        <v/>
      </c>
      <c r="N293" s="305" t="str">
        <f t="shared" si="93"/>
        <v/>
      </c>
      <c r="O293" s="327" t="e">
        <f t="shared" si="84"/>
        <v>#NUM!</v>
      </c>
      <c r="P293" s="305"/>
      <c r="Q293" s="303">
        <f t="shared" si="83"/>
        <v>0</v>
      </c>
      <c r="R293" s="304">
        <f t="shared" si="87"/>
        <v>-186</v>
      </c>
      <c r="S293" s="305" t="str">
        <f t="shared" si="94"/>
        <v/>
      </c>
      <c r="T293" s="305" t="str">
        <f t="shared" si="95"/>
        <v/>
      </c>
      <c r="U293" s="305" t="str">
        <f t="shared" si="96"/>
        <v/>
      </c>
      <c r="V293" s="305" t="str">
        <f t="shared" si="97"/>
        <v/>
      </c>
      <c r="W293" s="314" t="str">
        <f t="shared" si="98"/>
        <v/>
      </c>
      <c r="X293" s="314" t="str">
        <f t="shared" si="99"/>
        <v/>
      </c>
      <c r="Y293" s="326" t="str">
        <f t="shared" si="85"/>
        <v/>
      </c>
    </row>
    <row r="294" spans="7:25" x14ac:dyDescent="0.25">
      <c r="G294" s="303">
        <f t="shared" si="82"/>
        <v>0</v>
      </c>
      <c r="H294" s="304">
        <f t="shared" si="86"/>
        <v>287</v>
      </c>
      <c r="I294" s="305" t="str">
        <f t="shared" si="88"/>
        <v/>
      </c>
      <c r="J294" s="305" t="str">
        <f t="shared" si="89"/>
        <v/>
      </c>
      <c r="K294" s="305" t="str">
        <f t="shared" si="90"/>
        <v/>
      </c>
      <c r="L294" s="305" t="str">
        <f t="shared" si="91"/>
        <v/>
      </c>
      <c r="M294" s="314" t="str">
        <f t="shared" si="92"/>
        <v/>
      </c>
      <c r="N294" s="305" t="str">
        <f t="shared" si="93"/>
        <v/>
      </c>
      <c r="O294" s="327" t="e">
        <f t="shared" si="84"/>
        <v>#NUM!</v>
      </c>
      <c r="P294" s="305"/>
      <c r="Q294" s="303">
        <f t="shared" si="83"/>
        <v>0</v>
      </c>
      <c r="R294" s="304">
        <f t="shared" si="87"/>
        <v>-187</v>
      </c>
      <c r="S294" s="305" t="str">
        <f t="shared" si="94"/>
        <v/>
      </c>
      <c r="T294" s="305" t="str">
        <f t="shared" si="95"/>
        <v/>
      </c>
      <c r="U294" s="305" t="str">
        <f t="shared" si="96"/>
        <v/>
      </c>
      <c r="V294" s="305" t="str">
        <f t="shared" si="97"/>
        <v/>
      </c>
      <c r="W294" s="314" t="str">
        <f t="shared" si="98"/>
        <v/>
      </c>
      <c r="X294" s="314" t="str">
        <f t="shared" si="99"/>
        <v/>
      </c>
      <c r="Y294" s="326" t="str">
        <f t="shared" si="85"/>
        <v/>
      </c>
    </row>
    <row r="295" spans="7:25" x14ac:dyDescent="0.25">
      <c r="G295" s="303">
        <f t="shared" si="82"/>
        <v>0</v>
      </c>
      <c r="H295" s="304">
        <f t="shared" si="86"/>
        <v>288</v>
      </c>
      <c r="I295" s="305" t="str">
        <f t="shared" si="88"/>
        <v/>
      </c>
      <c r="J295" s="305" t="str">
        <f t="shared" si="89"/>
        <v/>
      </c>
      <c r="K295" s="305" t="str">
        <f t="shared" si="90"/>
        <v/>
      </c>
      <c r="L295" s="305" t="str">
        <f t="shared" si="91"/>
        <v/>
      </c>
      <c r="M295" s="314" t="str">
        <f t="shared" si="92"/>
        <v/>
      </c>
      <c r="N295" s="305" t="str">
        <f t="shared" si="93"/>
        <v/>
      </c>
      <c r="O295" s="327" t="e">
        <f t="shared" si="84"/>
        <v>#NUM!</v>
      </c>
      <c r="P295" s="305"/>
      <c r="Q295" s="303">
        <f t="shared" si="83"/>
        <v>0</v>
      </c>
      <c r="R295" s="304">
        <f t="shared" si="87"/>
        <v>-188</v>
      </c>
      <c r="S295" s="305" t="str">
        <f t="shared" si="94"/>
        <v/>
      </c>
      <c r="T295" s="305" t="str">
        <f t="shared" si="95"/>
        <v/>
      </c>
      <c r="U295" s="305" t="str">
        <f t="shared" si="96"/>
        <v/>
      </c>
      <c r="V295" s="305" t="str">
        <f t="shared" si="97"/>
        <v/>
      </c>
      <c r="W295" s="314" t="str">
        <f t="shared" si="98"/>
        <v/>
      </c>
      <c r="X295" s="314" t="str">
        <f t="shared" si="99"/>
        <v/>
      </c>
      <c r="Y295" s="326" t="str">
        <f t="shared" si="85"/>
        <v/>
      </c>
    </row>
    <row r="296" spans="7:25" x14ac:dyDescent="0.25">
      <c r="G296" s="303">
        <f t="shared" si="82"/>
        <v>0</v>
      </c>
      <c r="H296" s="304">
        <f t="shared" si="86"/>
        <v>289</v>
      </c>
      <c r="I296" s="305" t="str">
        <f t="shared" si="88"/>
        <v/>
      </c>
      <c r="J296" s="305" t="str">
        <f t="shared" si="89"/>
        <v/>
      </c>
      <c r="K296" s="305" t="str">
        <f t="shared" si="90"/>
        <v/>
      </c>
      <c r="L296" s="305" t="str">
        <f t="shared" si="91"/>
        <v/>
      </c>
      <c r="M296" s="314" t="str">
        <f t="shared" si="92"/>
        <v/>
      </c>
      <c r="N296" s="305" t="str">
        <f t="shared" si="93"/>
        <v/>
      </c>
      <c r="O296" s="327" t="e">
        <f t="shared" si="84"/>
        <v>#NUM!</v>
      </c>
      <c r="P296" s="305"/>
      <c r="Q296" s="303">
        <f t="shared" si="83"/>
        <v>0</v>
      </c>
      <c r="R296" s="304">
        <f t="shared" si="87"/>
        <v>-189</v>
      </c>
      <c r="S296" s="305" t="str">
        <f t="shared" si="94"/>
        <v/>
      </c>
      <c r="T296" s="305" t="str">
        <f t="shared" si="95"/>
        <v/>
      </c>
      <c r="U296" s="305" t="str">
        <f t="shared" si="96"/>
        <v/>
      </c>
      <c r="V296" s="305" t="str">
        <f t="shared" si="97"/>
        <v/>
      </c>
      <c r="W296" s="314" t="str">
        <f t="shared" si="98"/>
        <v/>
      </c>
      <c r="X296" s="314" t="str">
        <f t="shared" si="99"/>
        <v/>
      </c>
      <c r="Y296" s="326" t="str">
        <f t="shared" si="85"/>
        <v/>
      </c>
    </row>
    <row r="297" spans="7:25" x14ac:dyDescent="0.25">
      <c r="G297" s="303">
        <f t="shared" si="82"/>
        <v>0</v>
      </c>
      <c r="H297" s="304">
        <f t="shared" si="86"/>
        <v>290</v>
      </c>
      <c r="I297" s="305" t="str">
        <f t="shared" si="88"/>
        <v/>
      </c>
      <c r="J297" s="305" t="str">
        <f t="shared" si="89"/>
        <v/>
      </c>
      <c r="K297" s="305" t="str">
        <f t="shared" si="90"/>
        <v/>
      </c>
      <c r="L297" s="305" t="str">
        <f t="shared" si="91"/>
        <v/>
      </c>
      <c r="M297" s="314" t="str">
        <f t="shared" si="92"/>
        <v/>
      </c>
      <c r="N297" s="305" t="str">
        <f t="shared" si="93"/>
        <v/>
      </c>
      <c r="O297" s="327" t="e">
        <f t="shared" si="84"/>
        <v>#NUM!</v>
      </c>
      <c r="P297" s="305"/>
      <c r="Q297" s="303">
        <f t="shared" si="83"/>
        <v>0</v>
      </c>
      <c r="R297" s="304">
        <f t="shared" si="87"/>
        <v>-190</v>
      </c>
      <c r="S297" s="305" t="str">
        <f t="shared" si="94"/>
        <v/>
      </c>
      <c r="T297" s="305" t="str">
        <f t="shared" si="95"/>
        <v/>
      </c>
      <c r="U297" s="305" t="str">
        <f t="shared" si="96"/>
        <v/>
      </c>
      <c r="V297" s="305" t="str">
        <f t="shared" si="97"/>
        <v/>
      </c>
      <c r="W297" s="314" t="str">
        <f t="shared" si="98"/>
        <v/>
      </c>
      <c r="X297" s="314" t="str">
        <f t="shared" si="99"/>
        <v/>
      </c>
      <c r="Y297" s="326" t="str">
        <f t="shared" si="85"/>
        <v/>
      </c>
    </row>
    <row r="298" spans="7:25" x14ac:dyDescent="0.25">
      <c r="G298" s="303">
        <f t="shared" si="82"/>
        <v>0</v>
      </c>
      <c r="H298" s="304">
        <f t="shared" si="86"/>
        <v>291</v>
      </c>
      <c r="I298" s="305" t="str">
        <f t="shared" si="88"/>
        <v/>
      </c>
      <c r="J298" s="305" t="str">
        <f t="shared" si="89"/>
        <v/>
      </c>
      <c r="K298" s="305" t="str">
        <f t="shared" si="90"/>
        <v/>
      </c>
      <c r="L298" s="305" t="str">
        <f t="shared" si="91"/>
        <v/>
      </c>
      <c r="M298" s="314" t="str">
        <f t="shared" si="92"/>
        <v/>
      </c>
      <c r="N298" s="305" t="str">
        <f t="shared" si="93"/>
        <v/>
      </c>
      <c r="O298" s="327" t="e">
        <f t="shared" si="84"/>
        <v>#NUM!</v>
      </c>
      <c r="P298" s="305"/>
      <c r="Q298" s="303">
        <f t="shared" si="83"/>
        <v>0</v>
      </c>
      <c r="R298" s="304">
        <f t="shared" si="87"/>
        <v>-191</v>
      </c>
      <c r="S298" s="305" t="str">
        <f t="shared" si="94"/>
        <v/>
      </c>
      <c r="T298" s="305" t="str">
        <f t="shared" si="95"/>
        <v/>
      </c>
      <c r="U298" s="305" t="str">
        <f t="shared" si="96"/>
        <v/>
      </c>
      <c r="V298" s="305" t="str">
        <f t="shared" si="97"/>
        <v/>
      </c>
      <c r="W298" s="314" t="str">
        <f t="shared" si="98"/>
        <v/>
      </c>
      <c r="X298" s="314" t="str">
        <f t="shared" si="99"/>
        <v/>
      </c>
      <c r="Y298" s="326" t="str">
        <f t="shared" si="85"/>
        <v/>
      </c>
    </row>
    <row r="299" spans="7:25" x14ac:dyDescent="0.25">
      <c r="G299" s="303">
        <f t="shared" si="82"/>
        <v>0</v>
      </c>
      <c r="H299" s="304">
        <f t="shared" si="86"/>
        <v>292</v>
      </c>
      <c r="I299" s="305" t="str">
        <f t="shared" si="88"/>
        <v/>
      </c>
      <c r="J299" s="305" t="str">
        <f t="shared" si="89"/>
        <v/>
      </c>
      <c r="K299" s="305" t="str">
        <f t="shared" si="90"/>
        <v/>
      </c>
      <c r="L299" s="305" t="str">
        <f t="shared" si="91"/>
        <v/>
      </c>
      <c r="M299" s="314" t="str">
        <f t="shared" si="92"/>
        <v/>
      </c>
      <c r="N299" s="305" t="str">
        <f t="shared" si="93"/>
        <v/>
      </c>
      <c r="O299" s="327" t="e">
        <f t="shared" si="84"/>
        <v>#NUM!</v>
      </c>
      <c r="P299" s="305"/>
      <c r="Q299" s="303">
        <f t="shared" si="83"/>
        <v>0</v>
      </c>
      <c r="R299" s="304">
        <f t="shared" si="87"/>
        <v>-192</v>
      </c>
      <c r="S299" s="305" t="str">
        <f t="shared" si="94"/>
        <v/>
      </c>
      <c r="T299" s="305" t="str">
        <f t="shared" si="95"/>
        <v/>
      </c>
      <c r="U299" s="305" t="str">
        <f t="shared" si="96"/>
        <v/>
      </c>
      <c r="V299" s="305" t="str">
        <f t="shared" si="97"/>
        <v/>
      </c>
      <c r="W299" s="314" t="str">
        <f t="shared" si="98"/>
        <v/>
      </c>
      <c r="X299" s="314" t="str">
        <f t="shared" si="99"/>
        <v/>
      </c>
      <c r="Y299" s="326" t="str">
        <f t="shared" si="85"/>
        <v/>
      </c>
    </row>
    <row r="300" spans="7:25" x14ac:dyDescent="0.25">
      <c r="G300" s="303">
        <f t="shared" si="82"/>
        <v>0</v>
      </c>
      <c r="H300" s="304">
        <f t="shared" si="86"/>
        <v>293</v>
      </c>
      <c r="I300" s="305" t="str">
        <f t="shared" si="88"/>
        <v/>
      </c>
      <c r="J300" s="305" t="str">
        <f t="shared" si="89"/>
        <v/>
      </c>
      <c r="K300" s="305" t="str">
        <f t="shared" si="90"/>
        <v/>
      </c>
      <c r="L300" s="305" t="str">
        <f t="shared" si="91"/>
        <v/>
      </c>
      <c r="M300" s="314" t="str">
        <f t="shared" si="92"/>
        <v/>
      </c>
      <c r="N300" s="305" t="str">
        <f t="shared" si="93"/>
        <v/>
      </c>
      <c r="O300" s="327" t="e">
        <f t="shared" si="84"/>
        <v>#NUM!</v>
      </c>
      <c r="P300" s="305"/>
      <c r="Q300" s="303">
        <f t="shared" si="83"/>
        <v>0</v>
      </c>
      <c r="R300" s="304">
        <f t="shared" si="87"/>
        <v>-193</v>
      </c>
      <c r="S300" s="305" t="str">
        <f t="shared" si="94"/>
        <v/>
      </c>
      <c r="T300" s="305" t="str">
        <f t="shared" si="95"/>
        <v/>
      </c>
      <c r="U300" s="305" t="str">
        <f t="shared" si="96"/>
        <v/>
      </c>
      <c r="V300" s="305" t="str">
        <f t="shared" si="97"/>
        <v/>
      </c>
      <c r="W300" s="314" t="str">
        <f t="shared" si="98"/>
        <v/>
      </c>
      <c r="X300" s="314" t="str">
        <f t="shared" si="99"/>
        <v/>
      </c>
      <c r="Y300" s="326" t="str">
        <f t="shared" si="85"/>
        <v/>
      </c>
    </row>
    <row r="301" spans="7:25" x14ac:dyDescent="0.25">
      <c r="G301" s="303">
        <f t="shared" si="82"/>
        <v>0</v>
      </c>
      <c r="H301" s="304">
        <f t="shared" si="86"/>
        <v>294</v>
      </c>
      <c r="I301" s="305" t="str">
        <f t="shared" si="88"/>
        <v/>
      </c>
      <c r="J301" s="305" t="str">
        <f t="shared" si="89"/>
        <v/>
      </c>
      <c r="K301" s="305" t="str">
        <f t="shared" si="90"/>
        <v/>
      </c>
      <c r="L301" s="305" t="str">
        <f t="shared" si="91"/>
        <v/>
      </c>
      <c r="M301" s="314" t="str">
        <f t="shared" si="92"/>
        <v/>
      </c>
      <c r="N301" s="305" t="str">
        <f t="shared" si="93"/>
        <v/>
      </c>
      <c r="O301" s="327" t="e">
        <f t="shared" si="84"/>
        <v>#NUM!</v>
      </c>
      <c r="P301" s="305"/>
      <c r="Q301" s="303">
        <f t="shared" si="83"/>
        <v>0</v>
      </c>
      <c r="R301" s="304">
        <f t="shared" si="87"/>
        <v>-194</v>
      </c>
      <c r="S301" s="305" t="str">
        <f t="shared" si="94"/>
        <v/>
      </c>
      <c r="T301" s="305" t="str">
        <f t="shared" si="95"/>
        <v/>
      </c>
      <c r="U301" s="305" t="str">
        <f t="shared" si="96"/>
        <v/>
      </c>
      <c r="V301" s="305" t="str">
        <f t="shared" si="97"/>
        <v/>
      </c>
      <c r="W301" s="314" t="str">
        <f t="shared" si="98"/>
        <v/>
      </c>
      <c r="X301" s="314" t="str">
        <f t="shared" si="99"/>
        <v/>
      </c>
      <c r="Y301" s="326" t="str">
        <f t="shared" si="85"/>
        <v/>
      </c>
    </row>
    <row r="302" spans="7:25" x14ac:dyDescent="0.25">
      <c r="G302" s="303">
        <f t="shared" si="82"/>
        <v>0</v>
      </c>
      <c r="H302" s="304">
        <f t="shared" si="86"/>
        <v>295</v>
      </c>
      <c r="I302" s="305" t="str">
        <f t="shared" si="88"/>
        <v/>
      </c>
      <c r="J302" s="305" t="str">
        <f t="shared" si="89"/>
        <v/>
      </c>
      <c r="K302" s="305" t="str">
        <f t="shared" si="90"/>
        <v/>
      </c>
      <c r="L302" s="305" t="str">
        <f t="shared" si="91"/>
        <v/>
      </c>
      <c r="M302" s="314" t="str">
        <f t="shared" si="92"/>
        <v/>
      </c>
      <c r="N302" s="305" t="str">
        <f t="shared" si="93"/>
        <v/>
      </c>
      <c r="O302" s="327" t="e">
        <f t="shared" si="84"/>
        <v>#NUM!</v>
      </c>
      <c r="P302" s="305"/>
      <c r="Q302" s="303">
        <f t="shared" si="83"/>
        <v>0</v>
      </c>
      <c r="R302" s="304">
        <f t="shared" si="87"/>
        <v>-195</v>
      </c>
      <c r="S302" s="305" t="str">
        <f t="shared" si="94"/>
        <v/>
      </c>
      <c r="T302" s="305" t="str">
        <f t="shared" si="95"/>
        <v/>
      </c>
      <c r="U302" s="305" t="str">
        <f t="shared" si="96"/>
        <v/>
      </c>
      <c r="V302" s="305" t="str">
        <f t="shared" si="97"/>
        <v/>
      </c>
      <c r="W302" s="314" t="str">
        <f t="shared" si="98"/>
        <v/>
      </c>
      <c r="X302" s="314" t="str">
        <f t="shared" si="99"/>
        <v/>
      </c>
      <c r="Y302" s="326" t="str">
        <f t="shared" si="85"/>
        <v/>
      </c>
    </row>
    <row r="303" spans="7:25" x14ac:dyDescent="0.25">
      <c r="G303" s="303">
        <f t="shared" si="82"/>
        <v>0</v>
      </c>
      <c r="H303" s="304">
        <f t="shared" si="86"/>
        <v>296</v>
      </c>
      <c r="I303" s="305" t="str">
        <f t="shared" si="88"/>
        <v/>
      </c>
      <c r="J303" s="305" t="str">
        <f t="shared" si="89"/>
        <v/>
      </c>
      <c r="K303" s="305" t="str">
        <f t="shared" si="90"/>
        <v/>
      </c>
      <c r="L303" s="305" t="str">
        <f t="shared" si="91"/>
        <v/>
      </c>
      <c r="M303" s="314" t="str">
        <f t="shared" si="92"/>
        <v/>
      </c>
      <c r="N303" s="305" t="str">
        <f t="shared" si="93"/>
        <v/>
      </c>
      <c r="O303" s="327" t="e">
        <f t="shared" si="84"/>
        <v>#NUM!</v>
      </c>
      <c r="P303" s="305"/>
      <c r="Q303" s="303">
        <f t="shared" si="83"/>
        <v>0</v>
      </c>
      <c r="R303" s="304">
        <f t="shared" si="87"/>
        <v>-196</v>
      </c>
      <c r="S303" s="305" t="str">
        <f t="shared" si="94"/>
        <v/>
      </c>
      <c r="T303" s="305" t="str">
        <f t="shared" si="95"/>
        <v/>
      </c>
      <c r="U303" s="305" t="str">
        <f t="shared" si="96"/>
        <v/>
      </c>
      <c r="V303" s="305" t="str">
        <f t="shared" si="97"/>
        <v/>
      </c>
      <c r="W303" s="314" t="str">
        <f t="shared" si="98"/>
        <v/>
      </c>
      <c r="X303" s="314" t="str">
        <f t="shared" si="99"/>
        <v/>
      </c>
      <c r="Y303" s="326" t="str">
        <f t="shared" si="85"/>
        <v/>
      </c>
    </row>
    <row r="304" spans="7:25" x14ac:dyDescent="0.25">
      <c r="G304" s="303">
        <f t="shared" si="82"/>
        <v>0</v>
      </c>
      <c r="H304" s="304">
        <f t="shared" si="86"/>
        <v>297</v>
      </c>
      <c r="I304" s="305" t="str">
        <f t="shared" si="88"/>
        <v/>
      </c>
      <c r="J304" s="305" t="str">
        <f t="shared" si="89"/>
        <v/>
      </c>
      <c r="K304" s="305" t="str">
        <f t="shared" si="90"/>
        <v/>
      </c>
      <c r="L304" s="305" t="str">
        <f t="shared" si="91"/>
        <v/>
      </c>
      <c r="M304" s="314" t="str">
        <f t="shared" si="92"/>
        <v/>
      </c>
      <c r="N304" s="305" t="str">
        <f t="shared" si="93"/>
        <v/>
      </c>
      <c r="O304" s="327" t="e">
        <f t="shared" si="84"/>
        <v>#NUM!</v>
      </c>
      <c r="P304" s="305"/>
      <c r="Q304" s="303">
        <f t="shared" si="83"/>
        <v>0</v>
      </c>
      <c r="R304" s="304">
        <f t="shared" si="87"/>
        <v>-197</v>
      </c>
      <c r="S304" s="305" t="str">
        <f t="shared" si="94"/>
        <v/>
      </c>
      <c r="T304" s="305" t="str">
        <f t="shared" si="95"/>
        <v/>
      </c>
      <c r="U304" s="305" t="str">
        <f t="shared" si="96"/>
        <v/>
      </c>
      <c r="V304" s="305" t="str">
        <f t="shared" si="97"/>
        <v/>
      </c>
      <c r="W304" s="314" t="str">
        <f t="shared" si="98"/>
        <v/>
      </c>
      <c r="X304" s="314" t="str">
        <f t="shared" si="99"/>
        <v/>
      </c>
      <c r="Y304" s="326" t="str">
        <f t="shared" si="85"/>
        <v/>
      </c>
    </row>
    <row r="305" spans="7:25" x14ac:dyDescent="0.25">
      <c r="G305" s="303">
        <f t="shared" si="82"/>
        <v>0</v>
      </c>
      <c r="H305" s="304">
        <f t="shared" si="86"/>
        <v>298</v>
      </c>
      <c r="I305" s="305" t="str">
        <f t="shared" si="88"/>
        <v/>
      </c>
      <c r="J305" s="305" t="str">
        <f t="shared" si="89"/>
        <v/>
      </c>
      <c r="K305" s="305" t="str">
        <f t="shared" si="90"/>
        <v/>
      </c>
      <c r="L305" s="305" t="str">
        <f t="shared" si="91"/>
        <v/>
      </c>
      <c r="M305" s="314" t="str">
        <f t="shared" si="92"/>
        <v/>
      </c>
      <c r="N305" s="305" t="str">
        <f t="shared" si="93"/>
        <v/>
      </c>
      <c r="O305" s="327" t="e">
        <f t="shared" si="84"/>
        <v>#NUM!</v>
      </c>
      <c r="P305" s="305"/>
      <c r="Q305" s="303">
        <f t="shared" si="83"/>
        <v>0</v>
      </c>
      <c r="R305" s="304">
        <f t="shared" si="87"/>
        <v>-198</v>
      </c>
      <c r="S305" s="305" t="str">
        <f t="shared" si="94"/>
        <v/>
      </c>
      <c r="T305" s="305" t="str">
        <f t="shared" si="95"/>
        <v/>
      </c>
      <c r="U305" s="305" t="str">
        <f t="shared" si="96"/>
        <v/>
      </c>
      <c r="V305" s="305" t="str">
        <f t="shared" si="97"/>
        <v/>
      </c>
      <c r="W305" s="314" t="str">
        <f t="shared" si="98"/>
        <v/>
      </c>
      <c r="X305" s="314" t="str">
        <f t="shared" si="99"/>
        <v/>
      </c>
      <c r="Y305" s="326" t="str">
        <f t="shared" si="85"/>
        <v/>
      </c>
    </row>
    <row r="306" spans="7:25" x14ac:dyDescent="0.25">
      <c r="G306" s="303">
        <f t="shared" si="82"/>
        <v>0</v>
      </c>
      <c r="H306" s="304">
        <f t="shared" si="86"/>
        <v>299</v>
      </c>
      <c r="I306" s="305" t="str">
        <f t="shared" si="88"/>
        <v/>
      </c>
      <c r="J306" s="305" t="str">
        <f t="shared" si="89"/>
        <v/>
      </c>
      <c r="K306" s="305" t="str">
        <f t="shared" si="90"/>
        <v/>
      </c>
      <c r="L306" s="305" t="str">
        <f t="shared" si="91"/>
        <v/>
      </c>
      <c r="M306" s="314" t="str">
        <f t="shared" si="92"/>
        <v/>
      </c>
      <c r="N306" s="305" t="str">
        <f t="shared" si="93"/>
        <v/>
      </c>
      <c r="O306" s="327" t="e">
        <f t="shared" si="84"/>
        <v>#NUM!</v>
      </c>
      <c r="P306" s="305"/>
      <c r="Q306" s="303">
        <f t="shared" si="83"/>
        <v>0</v>
      </c>
      <c r="R306" s="304">
        <f t="shared" si="87"/>
        <v>-199</v>
      </c>
      <c r="S306" s="305" t="str">
        <f t="shared" si="94"/>
        <v/>
      </c>
      <c r="T306" s="305" t="str">
        <f t="shared" si="95"/>
        <v/>
      </c>
      <c r="U306" s="305" t="str">
        <f t="shared" si="96"/>
        <v/>
      </c>
      <c r="V306" s="305" t="str">
        <f t="shared" si="97"/>
        <v/>
      </c>
      <c r="W306" s="314" t="str">
        <f t="shared" si="98"/>
        <v/>
      </c>
      <c r="X306" s="314" t="str">
        <f t="shared" si="99"/>
        <v/>
      </c>
      <c r="Y306" s="326" t="str">
        <f t="shared" si="85"/>
        <v/>
      </c>
    </row>
    <row r="307" spans="7:25" x14ac:dyDescent="0.25">
      <c r="G307" s="303">
        <f t="shared" si="82"/>
        <v>0</v>
      </c>
      <c r="H307" s="304">
        <f t="shared" si="86"/>
        <v>300</v>
      </c>
      <c r="I307" s="305" t="str">
        <f t="shared" si="88"/>
        <v/>
      </c>
      <c r="J307" s="305" t="str">
        <f t="shared" si="89"/>
        <v/>
      </c>
      <c r="K307" s="305" t="str">
        <f t="shared" si="90"/>
        <v/>
      </c>
      <c r="L307" s="305" t="str">
        <f t="shared" si="91"/>
        <v/>
      </c>
      <c r="M307" s="314" t="str">
        <f t="shared" si="92"/>
        <v/>
      </c>
      <c r="N307" s="305" t="str">
        <f t="shared" si="93"/>
        <v/>
      </c>
      <c r="O307" s="327" t="e">
        <f t="shared" si="84"/>
        <v>#NUM!</v>
      </c>
      <c r="P307" s="305"/>
      <c r="Q307" s="303">
        <f t="shared" si="83"/>
        <v>0</v>
      </c>
      <c r="R307" s="304">
        <f t="shared" si="87"/>
        <v>-200</v>
      </c>
      <c r="S307" s="305" t="str">
        <f t="shared" si="94"/>
        <v/>
      </c>
      <c r="T307" s="305" t="str">
        <f t="shared" si="95"/>
        <v/>
      </c>
      <c r="U307" s="305" t="str">
        <f t="shared" si="96"/>
        <v/>
      </c>
      <c r="V307" s="305" t="str">
        <f t="shared" si="97"/>
        <v/>
      </c>
      <c r="W307" s="314" t="str">
        <f t="shared" si="98"/>
        <v/>
      </c>
      <c r="X307" s="314" t="str">
        <f t="shared" si="99"/>
        <v/>
      </c>
      <c r="Y307" s="326" t="str">
        <f t="shared" si="85"/>
        <v/>
      </c>
    </row>
    <row r="308" spans="7:25" x14ac:dyDescent="0.25">
      <c r="G308" s="303">
        <f t="shared" si="82"/>
        <v>0</v>
      </c>
      <c r="H308" s="304">
        <f t="shared" si="86"/>
        <v>301</v>
      </c>
      <c r="I308" s="305" t="str">
        <f t="shared" si="88"/>
        <v/>
      </c>
      <c r="J308" s="305" t="str">
        <f t="shared" si="89"/>
        <v/>
      </c>
      <c r="K308" s="305" t="str">
        <f t="shared" si="90"/>
        <v/>
      </c>
      <c r="L308" s="305" t="str">
        <f t="shared" si="91"/>
        <v/>
      </c>
      <c r="M308" s="314" t="str">
        <f t="shared" si="92"/>
        <v/>
      </c>
      <c r="N308" s="305" t="str">
        <f t="shared" si="93"/>
        <v/>
      </c>
      <c r="O308" s="327" t="e">
        <f t="shared" si="84"/>
        <v>#NUM!</v>
      </c>
      <c r="P308" s="305"/>
      <c r="Q308" s="303">
        <f t="shared" si="83"/>
        <v>0</v>
      </c>
      <c r="R308" s="304">
        <f t="shared" si="87"/>
        <v>-201</v>
      </c>
      <c r="S308" s="305" t="str">
        <f t="shared" si="94"/>
        <v/>
      </c>
      <c r="T308" s="305" t="str">
        <f t="shared" si="95"/>
        <v/>
      </c>
      <c r="U308" s="305" t="str">
        <f t="shared" si="96"/>
        <v/>
      </c>
      <c r="V308" s="305" t="str">
        <f t="shared" si="97"/>
        <v/>
      </c>
      <c r="W308" s="314" t="str">
        <f t="shared" si="98"/>
        <v/>
      </c>
      <c r="X308" s="314" t="str">
        <f t="shared" si="99"/>
        <v/>
      </c>
      <c r="Y308" s="326" t="str">
        <f t="shared" si="85"/>
        <v/>
      </c>
    </row>
    <row r="309" spans="7:25" x14ac:dyDescent="0.25">
      <c r="G309" s="303">
        <f t="shared" si="82"/>
        <v>0</v>
      </c>
      <c r="H309" s="304">
        <f t="shared" si="86"/>
        <v>302</v>
      </c>
      <c r="I309" s="305" t="str">
        <f t="shared" si="88"/>
        <v/>
      </c>
      <c r="J309" s="305" t="str">
        <f t="shared" si="89"/>
        <v/>
      </c>
      <c r="K309" s="305" t="str">
        <f t="shared" si="90"/>
        <v/>
      </c>
      <c r="L309" s="305" t="str">
        <f t="shared" si="91"/>
        <v/>
      </c>
      <c r="M309" s="314" t="str">
        <f t="shared" si="92"/>
        <v/>
      </c>
      <c r="N309" s="305" t="str">
        <f t="shared" si="93"/>
        <v/>
      </c>
      <c r="O309" s="327" t="e">
        <f t="shared" si="84"/>
        <v>#NUM!</v>
      </c>
      <c r="P309" s="305"/>
      <c r="Q309" s="303">
        <f t="shared" si="83"/>
        <v>0</v>
      </c>
      <c r="R309" s="304">
        <f t="shared" si="87"/>
        <v>-202</v>
      </c>
      <c r="S309" s="305" t="str">
        <f t="shared" si="94"/>
        <v/>
      </c>
      <c r="T309" s="305" t="str">
        <f t="shared" si="95"/>
        <v/>
      </c>
      <c r="U309" s="305" t="str">
        <f t="shared" si="96"/>
        <v/>
      </c>
      <c r="V309" s="305" t="str">
        <f t="shared" si="97"/>
        <v/>
      </c>
      <c r="W309" s="314" t="str">
        <f t="shared" si="98"/>
        <v/>
      </c>
      <c r="X309" s="314" t="str">
        <f t="shared" si="99"/>
        <v/>
      </c>
      <c r="Y309" s="326" t="str">
        <f t="shared" si="85"/>
        <v/>
      </c>
    </row>
    <row r="310" spans="7:25" x14ac:dyDescent="0.25">
      <c r="G310" s="303">
        <f t="shared" si="82"/>
        <v>0</v>
      </c>
      <c r="H310" s="304">
        <f t="shared" si="86"/>
        <v>303</v>
      </c>
      <c r="I310" s="305" t="str">
        <f t="shared" si="88"/>
        <v/>
      </c>
      <c r="J310" s="305" t="str">
        <f t="shared" si="89"/>
        <v/>
      </c>
      <c r="K310" s="305" t="str">
        <f t="shared" si="90"/>
        <v/>
      </c>
      <c r="L310" s="305" t="str">
        <f t="shared" si="91"/>
        <v/>
      </c>
      <c r="M310" s="314" t="str">
        <f t="shared" si="92"/>
        <v/>
      </c>
      <c r="N310" s="305" t="str">
        <f t="shared" si="93"/>
        <v/>
      </c>
      <c r="O310" s="327" t="e">
        <f t="shared" si="84"/>
        <v>#NUM!</v>
      </c>
      <c r="P310" s="305"/>
      <c r="Q310" s="303">
        <f t="shared" si="83"/>
        <v>0</v>
      </c>
      <c r="R310" s="304">
        <f t="shared" si="87"/>
        <v>-203</v>
      </c>
      <c r="S310" s="305" t="str">
        <f t="shared" si="94"/>
        <v/>
      </c>
      <c r="T310" s="305" t="str">
        <f t="shared" si="95"/>
        <v/>
      </c>
      <c r="U310" s="305" t="str">
        <f t="shared" si="96"/>
        <v/>
      </c>
      <c r="V310" s="305" t="str">
        <f t="shared" si="97"/>
        <v/>
      </c>
      <c r="W310" s="314" t="str">
        <f t="shared" si="98"/>
        <v/>
      </c>
      <c r="X310" s="314" t="str">
        <f t="shared" si="99"/>
        <v/>
      </c>
      <c r="Y310" s="326" t="str">
        <f t="shared" si="85"/>
        <v/>
      </c>
    </row>
    <row r="311" spans="7:25" x14ac:dyDescent="0.25">
      <c r="G311" s="303">
        <f t="shared" si="82"/>
        <v>0</v>
      </c>
      <c r="H311" s="304">
        <f t="shared" si="86"/>
        <v>304</v>
      </c>
      <c r="I311" s="305" t="str">
        <f t="shared" si="88"/>
        <v/>
      </c>
      <c r="J311" s="305" t="str">
        <f t="shared" si="89"/>
        <v/>
      </c>
      <c r="K311" s="305" t="str">
        <f t="shared" si="90"/>
        <v/>
      </c>
      <c r="L311" s="305" t="str">
        <f t="shared" si="91"/>
        <v/>
      </c>
      <c r="M311" s="314" t="str">
        <f t="shared" si="92"/>
        <v/>
      </c>
      <c r="N311" s="305" t="str">
        <f t="shared" si="93"/>
        <v/>
      </c>
      <c r="O311" s="327" t="e">
        <f t="shared" si="84"/>
        <v>#NUM!</v>
      </c>
      <c r="P311" s="305"/>
      <c r="Q311" s="303">
        <f t="shared" si="83"/>
        <v>0</v>
      </c>
      <c r="R311" s="304">
        <f t="shared" si="87"/>
        <v>-204</v>
      </c>
      <c r="S311" s="305" t="str">
        <f t="shared" si="94"/>
        <v/>
      </c>
      <c r="T311" s="305" t="str">
        <f t="shared" si="95"/>
        <v/>
      </c>
      <c r="U311" s="305" t="str">
        <f t="shared" si="96"/>
        <v/>
      </c>
      <c r="V311" s="305" t="str">
        <f t="shared" si="97"/>
        <v/>
      </c>
      <c r="W311" s="314" t="str">
        <f t="shared" si="98"/>
        <v/>
      </c>
      <c r="X311" s="314" t="str">
        <f t="shared" si="99"/>
        <v/>
      </c>
      <c r="Y311" s="326" t="str">
        <f t="shared" si="85"/>
        <v/>
      </c>
    </row>
    <row r="312" spans="7:25" x14ac:dyDescent="0.25">
      <c r="G312" s="303">
        <f t="shared" si="82"/>
        <v>0</v>
      </c>
      <c r="H312" s="304">
        <f t="shared" si="86"/>
        <v>305</v>
      </c>
      <c r="I312" s="305" t="str">
        <f t="shared" si="88"/>
        <v/>
      </c>
      <c r="J312" s="305" t="str">
        <f t="shared" si="89"/>
        <v/>
      </c>
      <c r="K312" s="305" t="str">
        <f t="shared" si="90"/>
        <v/>
      </c>
      <c r="L312" s="305" t="str">
        <f t="shared" si="91"/>
        <v/>
      </c>
      <c r="M312" s="314" t="str">
        <f t="shared" si="92"/>
        <v/>
      </c>
      <c r="N312" s="305" t="str">
        <f t="shared" si="93"/>
        <v/>
      </c>
      <c r="O312" s="327" t="e">
        <f t="shared" si="84"/>
        <v>#NUM!</v>
      </c>
      <c r="P312" s="305"/>
      <c r="Q312" s="303">
        <f t="shared" si="83"/>
        <v>0</v>
      </c>
      <c r="R312" s="304">
        <f t="shared" si="87"/>
        <v>-205</v>
      </c>
      <c r="S312" s="305" t="str">
        <f t="shared" si="94"/>
        <v/>
      </c>
      <c r="T312" s="305" t="str">
        <f t="shared" si="95"/>
        <v/>
      </c>
      <c r="U312" s="305" t="str">
        <f t="shared" si="96"/>
        <v/>
      </c>
      <c r="V312" s="305" t="str">
        <f t="shared" si="97"/>
        <v/>
      </c>
      <c r="W312" s="314" t="str">
        <f t="shared" si="98"/>
        <v/>
      </c>
      <c r="X312" s="314" t="str">
        <f t="shared" si="99"/>
        <v/>
      </c>
      <c r="Y312" s="326" t="str">
        <f t="shared" si="85"/>
        <v/>
      </c>
    </row>
    <row r="313" spans="7:25" x14ac:dyDescent="0.25">
      <c r="G313" s="303">
        <f t="shared" si="82"/>
        <v>0</v>
      </c>
      <c r="H313" s="304">
        <f t="shared" si="86"/>
        <v>306</v>
      </c>
      <c r="I313" s="305" t="str">
        <f t="shared" si="88"/>
        <v/>
      </c>
      <c r="J313" s="305" t="str">
        <f t="shared" si="89"/>
        <v/>
      </c>
      <c r="K313" s="305" t="str">
        <f t="shared" si="90"/>
        <v/>
      </c>
      <c r="L313" s="305" t="str">
        <f t="shared" si="91"/>
        <v/>
      </c>
      <c r="M313" s="314" t="str">
        <f t="shared" si="92"/>
        <v/>
      </c>
      <c r="N313" s="305" t="str">
        <f t="shared" si="93"/>
        <v/>
      </c>
      <c r="O313" s="327" t="e">
        <f t="shared" si="84"/>
        <v>#NUM!</v>
      </c>
      <c r="P313" s="305"/>
      <c r="Q313" s="303">
        <f t="shared" si="83"/>
        <v>0</v>
      </c>
      <c r="R313" s="304">
        <f t="shared" si="87"/>
        <v>-206</v>
      </c>
      <c r="S313" s="305" t="str">
        <f t="shared" si="94"/>
        <v/>
      </c>
      <c r="T313" s="305" t="str">
        <f t="shared" si="95"/>
        <v/>
      </c>
      <c r="U313" s="305" t="str">
        <f t="shared" si="96"/>
        <v/>
      </c>
      <c r="V313" s="305" t="str">
        <f t="shared" si="97"/>
        <v/>
      </c>
      <c r="W313" s="314" t="str">
        <f t="shared" si="98"/>
        <v/>
      </c>
      <c r="X313" s="314" t="str">
        <f t="shared" si="99"/>
        <v/>
      </c>
      <c r="Y313" s="326" t="str">
        <f t="shared" si="85"/>
        <v/>
      </c>
    </row>
    <row r="314" spans="7:25" x14ac:dyDescent="0.25">
      <c r="G314" s="303">
        <f t="shared" si="82"/>
        <v>0</v>
      </c>
      <c r="H314" s="304">
        <f t="shared" si="86"/>
        <v>307</v>
      </c>
      <c r="I314" s="305" t="str">
        <f t="shared" si="88"/>
        <v/>
      </c>
      <c r="J314" s="305" t="str">
        <f t="shared" si="89"/>
        <v/>
      </c>
      <c r="K314" s="305" t="str">
        <f t="shared" si="90"/>
        <v/>
      </c>
      <c r="L314" s="305" t="str">
        <f t="shared" si="91"/>
        <v/>
      </c>
      <c r="M314" s="314" t="str">
        <f t="shared" si="92"/>
        <v/>
      </c>
      <c r="N314" s="305" t="str">
        <f t="shared" si="93"/>
        <v/>
      </c>
      <c r="O314" s="327" t="e">
        <f t="shared" si="84"/>
        <v>#NUM!</v>
      </c>
      <c r="P314" s="305"/>
      <c r="Q314" s="303">
        <f t="shared" si="83"/>
        <v>0</v>
      </c>
      <c r="R314" s="304">
        <f t="shared" si="87"/>
        <v>-207</v>
      </c>
      <c r="S314" s="305" t="str">
        <f t="shared" si="94"/>
        <v/>
      </c>
      <c r="T314" s="305" t="str">
        <f t="shared" si="95"/>
        <v/>
      </c>
      <c r="U314" s="305" t="str">
        <f t="shared" si="96"/>
        <v/>
      </c>
      <c r="V314" s="305" t="str">
        <f t="shared" si="97"/>
        <v/>
      </c>
      <c r="W314" s="314" t="str">
        <f t="shared" si="98"/>
        <v/>
      </c>
      <c r="X314" s="314" t="str">
        <f t="shared" si="99"/>
        <v/>
      </c>
      <c r="Y314" s="326" t="str">
        <f t="shared" si="85"/>
        <v/>
      </c>
    </row>
    <row r="315" spans="7:25" x14ac:dyDescent="0.25">
      <c r="G315" s="303">
        <f t="shared" si="82"/>
        <v>0</v>
      </c>
      <c r="H315" s="304">
        <f t="shared" si="86"/>
        <v>308</v>
      </c>
      <c r="I315" s="305" t="str">
        <f t="shared" si="88"/>
        <v/>
      </c>
      <c r="J315" s="305" t="str">
        <f t="shared" si="89"/>
        <v/>
      </c>
      <c r="K315" s="305" t="str">
        <f t="shared" si="90"/>
        <v/>
      </c>
      <c r="L315" s="305" t="str">
        <f t="shared" si="91"/>
        <v/>
      </c>
      <c r="M315" s="314" t="str">
        <f t="shared" si="92"/>
        <v/>
      </c>
      <c r="N315" s="305" t="str">
        <f t="shared" si="93"/>
        <v/>
      </c>
      <c r="O315" s="327" t="e">
        <f t="shared" si="84"/>
        <v>#NUM!</v>
      </c>
      <c r="P315" s="305"/>
      <c r="Q315" s="303">
        <f t="shared" si="83"/>
        <v>0</v>
      </c>
      <c r="R315" s="304">
        <f t="shared" si="87"/>
        <v>-208</v>
      </c>
      <c r="S315" s="305" t="str">
        <f t="shared" si="94"/>
        <v/>
      </c>
      <c r="T315" s="305" t="str">
        <f t="shared" si="95"/>
        <v/>
      </c>
      <c r="U315" s="305" t="str">
        <f t="shared" si="96"/>
        <v/>
      </c>
      <c r="V315" s="305" t="str">
        <f t="shared" si="97"/>
        <v/>
      </c>
      <c r="W315" s="314" t="str">
        <f t="shared" si="98"/>
        <v/>
      </c>
      <c r="X315" s="314" t="str">
        <f t="shared" si="99"/>
        <v/>
      </c>
      <c r="Y315" s="326" t="str">
        <f t="shared" si="85"/>
        <v/>
      </c>
    </row>
    <row r="316" spans="7:25" x14ac:dyDescent="0.25">
      <c r="G316" s="303">
        <f t="shared" si="82"/>
        <v>0</v>
      </c>
      <c r="H316" s="304">
        <f t="shared" si="86"/>
        <v>309</v>
      </c>
      <c r="I316" s="305" t="str">
        <f t="shared" si="88"/>
        <v/>
      </c>
      <c r="J316" s="305" t="str">
        <f t="shared" si="89"/>
        <v/>
      </c>
      <c r="K316" s="305" t="str">
        <f t="shared" si="90"/>
        <v/>
      </c>
      <c r="L316" s="305" t="str">
        <f t="shared" si="91"/>
        <v/>
      </c>
      <c r="M316" s="314" t="str">
        <f t="shared" si="92"/>
        <v/>
      </c>
      <c r="N316" s="305" t="str">
        <f t="shared" si="93"/>
        <v/>
      </c>
      <c r="O316" s="327" t="e">
        <f t="shared" si="84"/>
        <v>#NUM!</v>
      </c>
      <c r="P316" s="305"/>
      <c r="Q316" s="303">
        <f t="shared" si="83"/>
        <v>0</v>
      </c>
      <c r="R316" s="304">
        <f t="shared" si="87"/>
        <v>-209</v>
      </c>
      <c r="S316" s="305" t="str">
        <f t="shared" si="94"/>
        <v/>
      </c>
      <c r="T316" s="305" t="str">
        <f t="shared" si="95"/>
        <v/>
      </c>
      <c r="U316" s="305" t="str">
        <f t="shared" si="96"/>
        <v/>
      </c>
      <c r="V316" s="305" t="str">
        <f t="shared" si="97"/>
        <v/>
      </c>
      <c r="W316" s="314" t="str">
        <f t="shared" si="98"/>
        <v/>
      </c>
      <c r="X316" s="314" t="str">
        <f t="shared" si="99"/>
        <v/>
      </c>
      <c r="Y316" s="326" t="str">
        <f t="shared" si="85"/>
        <v/>
      </c>
    </row>
    <row r="317" spans="7:25" x14ac:dyDescent="0.25">
      <c r="G317" s="303">
        <f t="shared" si="82"/>
        <v>0</v>
      </c>
      <c r="H317" s="304">
        <f t="shared" si="86"/>
        <v>310</v>
      </c>
      <c r="I317" s="305" t="str">
        <f t="shared" si="88"/>
        <v/>
      </c>
      <c r="J317" s="305" t="str">
        <f t="shared" si="89"/>
        <v/>
      </c>
      <c r="K317" s="305" t="str">
        <f t="shared" si="90"/>
        <v/>
      </c>
      <c r="L317" s="305" t="str">
        <f t="shared" si="91"/>
        <v/>
      </c>
      <c r="M317" s="314" t="str">
        <f t="shared" si="92"/>
        <v/>
      </c>
      <c r="N317" s="305" t="str">
        <f t="shared" si="93"/>
        <v/>
      </c>
      <c r="O317" s="327" t="e">
        <f t="shared" si="84"/>
        <v>#NUM!</v>
      </c>
      <c r="P317" s="305"/>
      <c r="Q317" s="303">
        <f t="shared" si="83"/>
        <v>0</v>
      </c>
      <c r="R317" s="304">
        <f t="shared" si="87"/>
        <v>-210</v>
      </c>
      <c r="S317" s="305" t="str">
        <f t="shared" si="94"/>
        <v/>
      </c>
      <c r="T317" s="305" t="str">
        <f t="shared" si="95"/>
        <v/>
      </c>
      <c r="U317" s="305" t="str">
        <f t="shared" si="96"/>
        <v/>
      </c>
      <c r="V317" s="305" t="str">
        <f t="shared" si="97"/>
        <v/>
      </c>
      <c r="W317" s="314" t="str">
        <f t="shared" si="98"/>
        <v/>
      </c>
      <c r="X317" s="314" t="str">
        <f t="shared" si="99"/>
        <v/>
      </c>
      <c r="Y317" s="326" t="str">
        <f t="shared" si="85"/>
        <v/>
      </c>
    </row>
    <row r="318" spans="7:25" x14ac:dyDescent="0.25">
      <c r="G318" s="303">
        <f t="shared" si="82"/>
        <v>0</v>
      </c>
      <c r="H318" s="304">
        <f t="shared" si="86"/>
        <v>311</v>
      </c>
      <c r="I318" s="305" t="str">
        <f t="shared" si="88"/>
        <v/>
      </c>
      <c r="J318" s="305" t="str">
        <f t="shared" si="89"/>
        <v/>
      </c>
      <c r="K318" s="305" t="str">
        <f t="shared" si="90"/>
        <v/>
      </c>
      <c r="L318" s="305" t="str">
        <f t="shared" si="91"/>
        <v/>
      </c>
      <c r="M318" s="314" t="str">
        <f t="shared" si="92"/>
        <v/>
      </c>
      <c r="N318" s="305" t="str">
        <f t="shared" si="93"/>
        <v/>
      </c>
      <c r="O318" s="327" t="e">
        <f t="shared" si="84"/>
        <v>#NUM!</v>
      </c>
      <c r="P318" s="305"/>
      <c r="Q318" s="303">
        <f t="shared" si="83"/>
        <v>0</v>
      </c>
      <c r="R318" s="304">
        <f t="shared" si="87"/>
        <v>-211</v>
      </c>
      <c r="S318" s="305" t="str">
        <f t="shared" si="94"/>
        <v/>
      </c>
      <c r="T318" s="305" t="str">
        <f t="shared" si="95"/>
        <v/>
      </c>
      <c r="U318" s="305" t="str">
        <f t="shared" si="96"/>
        <v/>
      </c>
      <c r="V318" s="305" t="str">
        <f t="shared" si="97"/>
        <v/>
      </c>
      <c r="W318" s="314" t="str">
        <f t="shared" si="98"/>
        <v/>
      </c>
      <c r="X318" s="314" t="str">
        <f t="shared" si="99"/>
        <v/>
      </c>
      <c r="Y318" s="326" t="str">
        <f t="shared" si="85"/>
        <v/>
      </c>
    </row>
    <row r="319" spans="7:25" x14ac:dyDescent="0.25">
      <c r="G319" s="303">
        <f t="shared" si="82"/>
        <v>0</v>
      </c>
      <c r="H319" s="304">
        <f t="shared" si="86"/>
        <v>312</v>
      </c>
      <c r="I319" s="305" t="str">
        <f t="shared" si="88"/>
        <v/>
      </c>
      <c r="J319" s="305" t="str">
        <f t="shared" si="89"/>
        <v/>
      </c>
      <c r="K319" s="305" t="str">
        <f t="shared" si="90"/>
        <v/>
      </c>
      <c r="L319" s="305" t="str">
        <f t="shared" si="91"/>
        <v/>
      </c>
      <c r="M319" s="314" t="str">
        <f t="shared" si="92"/>
        <v/>
      </c>
      <c r="N319" s="305" t="str">
        <f t="shared" si="93"/>
        <v/>
      </c>
      <c r="O319" s="327" t="e">
        <f t="shared" si="84"/>
        <v>#NUM!</v>
      </c>
      <c r="P319" s="305"/>
      <c r="Q319" s="303">
        <f t="shared" si="83"/>
        <v>0</v>
      </c>
      <c r="R319" s="304">
        <f t="shared" si="87"/>
        <v>-212</v>
      </c>
      <c r="S319" s="305" t="str">
        <f t="shared" si="94"/>
        <v/>
      </c>
      <c r="T319" s="305" t="str">
        <f t="shared" si="95"/>
        <v/>
      </c>
      <c r="U319" s="305" t="str">
        <f t="shared" si="96"/>
        <v/>
      </c>
      <c r="V319" s="305" t="str">
        <f t="shared" si="97"/>
        <v/>
      </c>
      <c r="W319" s="314" t="str">
        <f t="shared" si="98"/>
        <v/>
      </c>
      <c r="X319" s="314" t="str">
        <f t="shared" si="99"/>
        <v/>
      </c>
      <c r="Y319" s="326" t="str">
        <f t="shared" si="85"/>
        <v/>
      </c>
    </row>
    <row r="320" spans="7:25" x14ac:dyDescent="0.25">
      <c r="G320" s="303">
        <f t="shared" si="82"/>
        <v>0</v>
      </c>
      <c r="H320" s="304">
        <f t="shared" si="86"/>
        <v>313</v>
      </c>
      <c r="I320" s="305" t="str">
        <f t="shared" si="88"/>
        <v/>
      </c>
      <c r="J320" s="305" t="str">
        <f t="shared" si="89"/>
        <v/>
      </c>
      <c r="K320" s="305" t="str">
        <f t="shared" si="90"/>
        <v/>
      </c>
      <c r="L320" s="305" t="str">
        <f t="shared" si="91"/>
        <v/>
      </c>
      <c r="M320" s="314" t="str">
        <f t="shared" si="92"/>
        <v/>
      </c>
      <c r="N320" s="305" t="str">
        <f t="shared" si="93"/>
        <v/>
      </c>
      <c r="O320" s="327" t="e">
        <f t="shared" si="84"/>
        <v>#NUM!</v>
      </c>
      <c r="P320" s="305"/>
      <c r="Q320" s="303">
        <f t="shared" si="83"/>
        <v>0</v>
      </c>
      <c r="R320" s="304">
        <f t="shared" si="87"/>
        <v>-213</v>
      </c>
      <c r="S320" s="305" t="str">
        <f t="shared" si="94"/>
        <v/>
      </c>
      <c r="T320" s="305" t="str">
        <f t="shared" si="95"/>
        <v/>
      </c>
      <c r="U320" s="305" t="str">
        <f t="shared" si="96"/>
        <v/>
      </c>
      <c r="V320" s="305" t="str">
        <f t="shared" si="97"/>
        <v/>
      </c>
      <c r="W320" s="314" t="str">
        <f t="shared" si="98"/>
        <v/>
      </c>
      <c r="X320" s="314" t="str">
        <f t="shared" si="99"/>
        <v/>
      </c>
      <c r="Y320" s="326" t="str">
        <f t="shared" si="85"/>
        <v/>
      </c>
    </row>
    <row r="321" spans="7:25" x14ac:dyDescent="0.25">
      <c r="G321" s="303">
        <f t="shared" si="82"/>
        <v>0</v>
      </c>
      <c r="H321" s="304">
        <f t="shared" si="86"/>
        <v>314</v>
      </c>
      <c r="I321" s="305" t="str">
        <f t="shared" si="88"/>
        <v/>
      </c>
      <c r="J321" s="305" t="str">
        <f t="shared" si="89"/>
        <v/>
      </c>
      <c r="K321" s="305" t="str">
        <f t="shared" si="90"/>
        <v/>
      </c>
      <c r="L321" s="305" t="str">
        <f t="shared" si="91"/>
        <v/>
      </c>
      <c r="M321" s="314" t="str">
        <f t="shared" si="92"/>
        <v/>
      </c>
      <c r="N321" s="305" t="str">
        <f t="shared" si="93"/>
        <v/>
      </c>
      <c r="O321" s="327" t="e">
        <f t="shared" si="84"/>
        <v>#NUM!</v>
      </c>
      <c r="P321" s="305"/>
      <c r="Q321" s="303">
        <f t="shared" si="83"/>
        <v>0</v>
      </c>
      <c r="R321" s="304">
        <f t="shared" si="87"/>
        <v>-214</v>
      </c>
      <c r="S321" s="305" t="str">
        <f t="shared" si="94"/>
        <v/>
      </c>
      <c r="T321" s="305" t="str">
        <f t="shared" si="95"/>
        <v/>
      </c>
      <c r="U321" s="305" t="str">
        <f t="shared" si="96"/>
        <v/>
      </c>
      <c r="V321" s="305" t="str">
        <f t="shared" si="97"/>
        <v/>
      </c>
      <c r="W321" s="314" t="str">
        <f t="shared" si="98"/>
        <v/>
      </c>
      <c r="X321" s="314" t="str">
        <f t="shared" si="99"/>
        <v/>
      </c>
      <c r="Y321" s="326" t="str">
        <f t="shared" si="85"/>
        <v/>
      </c>
    </row>
    <row r="322" spans="7:25" x14ac:dyDescent="0.25">
      <c r="G322" s="303">
        <f t="shared" si="82"/>
        <v>0</v>
      </c>
      <c r="H322" s="304">
        <f t="shared" si="86"/>
        <v>315</v>
      </c>
      <c r="I322" s="305" t="str">
        <f t="shared" si="88"/>
        <v/>
      </c>
      <c r="J322" s="305" t="str">
        <f t="shared" si="89"/>
        <v/>
      </c>
      <c r="K322" s="305" t="str">
        <f t="shared" si="90"/>
        <v/>
      </c>
      <c r="L322" s="305" t="str">
        <f t="shared" si="91"/>
        <v/>
      </c>
      <c r="M322" s="314" t="str">
        <f t="shared" si="92"/>
        <v/>
      </c>
      <c r="N322" s="305" t="str">
        <f t="shared" si="93"/>
        <v/>
      </c>
      <c r="O322" s="327" t="e">
        <f t="shared" si="84"/>
        <v>#NUM!</v>
      </c>
      <c r="P322" s="305"/>
      <c r="Q322" s="303">
        <f t="shared" si="83"/>
        <v>0</v>
      </c>
      <c r="R322" s="304">
        <f t="shared" si="87"/>
        <v>-215</v>
      </c>
      <c r="S322" s="305" t="str">
        <f t="shared" si="94"/>
        <v/>
      </c>
      <c r="T322" s="305" t="str">
        <f t="shared" si="95"/>
        <v/>
      </c>
      <c r="U322" s="305" t="str">
        <f t="shared" si="96"/>
        <v/>
      </c>
      <c r="V322" s="305" t="str">
        <f t="shared" si="97"/>
        <v/>
      </c>
      <c r="W322" s="314" t="str">
        <f t="shared" si="98"/>
        <v/>
      </c>
      <c r="X322" s="314" t="str">
        <f t="shared" si="99"/>
        <v/>
      </c>
      <c r="Y322" s="326" t="str">
        <f t="shared" si="85"/>
        <v/>
      </c>
    </row>
    <row r="323" spans="7:25" x14ac:dyDescent="0.25">
      <c r="G323" s="303">
        <f t="shared" si="82"/>
        <v>0</v>
      </c>
      <c r="H323" s="304">
        <f t="shared" si="86"/>
        <v>316</v>
      </c>
      <c r="I323" s="305" t="str">
        <f t="shared" si="88"/>
        <v/>
      </c>
      <c r="J323" s="305" t="str">
        <f t="shared" si="89"/>
        <v/>
      </c>
      <c r="K323" s="305" t="str">
        <f t="shared" si="90"/>
        <v/>
      </c>
      <c r="L323" s="305" t="str">
        <f t="shared" si="91"/>
        <v/>
      </c>
      <c r="M323" s="314" t="str">
        <f t="shared" si="92"/>
        <v/>
      </c>
      <c r="N323" s="305" t="str">
        <f t="shared" si="93"/>
        <v/>
      </c>
      <c r="O323" s="327" t="e">
        <f t="shared" si="84"/>
        <v>#NUM!</v>
      </c>
      <c r="P323" s="305"/>
      <c r="Q323" s="303">
        <f t="shared" si="83"/>
        <v>0</v>
      </c>
      <c r="R323" s="304">
        <f t="shared" si="87"/>
        <v>-216</v>
      </c>
      <c r="S323" s="305" t="str">
        <f t="shared" si="94"/>
        <v/>
      </c>
      <c r="T323" s="305" t="str">
        <f t="shared" si="95"/>
        <v/>
      </c>
      <c r="U323" s="305" t="str">
        <f t="shared" si="96"/>
        <v/>
      </c>
      <c r="V323" s="305" t="str">
        <f t="shared" si="97"/>
        <v/>
      </c>
      <c r="W323" s="314" t="str">
        <f t="shared" si="98"/>
        <v/>
      </c>
      <c r="X323" s="314" t="str">
        <f t="shared" si="99"/>
        <v/>
      </c>
      <c r="Y323" s="326" t="str">
        <f t="shared" si="85"/>
        <v/>
      </c>
    </row>
    <row r="324" spans="7:25" x14ac:dyDescent="0.25">
      <c r="G324" s="303">
        <f t="shared" si="82"/>
        <v>0</v>
      </c>
      <c r="H324" s="304">
        <f t="shared" si="86"/>
        <v>317</v>
      </c>
      <c r="I324" s="305" t="str">
        <f t="shared" si="88"/>
        <v/>
      </c>
      <c r="J324" s="305" t="str">
        <f t="shared" si="89"/>
        <v/>
      </c>
      <c r="K324" s="305" t="str">
        <f t="shared" si="90"/>
        <v/>
      </c>
      <c r="L324" s="305" t="str">
        <f t="shared" si="91"/>
        <v/>
      </c>
      <c r="M324" s="314" t="str">
        <f t="shared" si="92"/>
        <v/>
      </c>
      <c r="N324" s="305" t="str">
        <f t="shared" si="93"/>
        <v/>
      </c>
      <c r="O324" s="327" t="e">
        <f t="shared" si="84"/>
        <v>#NUM!</v>
      </c>
      <c r="P324" s="305"/>
      <c r="Q324" s="303">
        <f t="shared" si="83"/>
        <v>0</v>
      </c>
      <c r="R324" s="304">
        <f t="shared" si="87"/>
        <v>-217</v>
      </c>
      <c r="S324" s="305" t="str">
        <f t="shared" si="94"/>
        <v/>
      </c>
      <c r="T324" s="305" t="str">
        <f t="shared" si="95"/>
        <v/>
      </c>
      <c r="U324" s="305" t="str">
        <f t="shared" si="96"/>
        <v/>
      </c>
      <c r="V324" s="305" t="str">
        <f t="shared" si="97"/>
        <v/>
      </c>
      <c r="W324" s="314" t="str">
        <f t="shared" si="98"/>
        <v/>
      </c>
      <c r="X324" s="314" t="str">
        <f t="shared" si="99"/>
        <v/>
      </c>
      <c r="Y324" s="326" t="str">
        <f t="shared" si="85"/>
        <v/>
      </c>
    </row>
    <row r="325" spans="7:25" x14ac:dyDescent="0.25">
      <c r="G325" s="303">
        <f t="shared" si="82"/>
        <v>0</v>
      </c>
      <c r="H325" s="304">
        <f t="shared" si="86"/>
        <v>318</v>
      </c>
      <c r="I325" s="305" t="str">
        <f t="shared" si="88"/>
        <v/>
      </c>
      <c r="J325" s="305" t="str">
        <f t="shared" si="89"/>
        <v/>
      </c>
      <c r="K325" s="305" t="str">
        <f t="shared" si="90"/>
        <v/>
      </c>
      <c r="L325" s="305" t="str">
        <f t="shared" si="91"/>
        <v/>
      </c>
      <c r="M325" s="314" t="str">
        <f t="shared" si="92"/>
        <v/>
      </c>
      <c r="N325" s="305" t="str">
        <f t="shared" si="93"/>
        <v/>
      </c>
      <c r="O325" s="327" t="e">
        <f t="shared" si="84"/>
        <v>#NUM!</v>
      </c>
      <c r="P325" s="305"/>
      <c r="Q325" s="303">
        <f t="shared" si="83"/>
        <v>0</v>
      </c>
      <c r="R325" s="304">
        <f t="shared" si="87"/>
        <v>-218</v>
      </c>
      <c r="S325" s="305" t="str">
        <f t="shared" si="94"/>
        <v/>
      </c>
      <c r="T325" s="305" t="str">
        <f t="shared" si="95"/>
        <v/>
      </c>
      <c r="U325" s="305" t="str">
        <f t="shared" si="96"/>
        <v/>
      </c>
      <c r="V325" s="305" t="str">
        <f t="shared" si="97"/>
        <v/>
      </c>
      <c r="W325" s="314" t="str">
        <f t="shared" si="98"/>
        <v/>
      </c>
      <c r="X325" s="314" t="str">
        <f t="shared" si="99"/>
        <v/>
      </c>
      <c r="Y325" s="326" t="str">
        <f t="shared" si="85"/>
        <v/>
      </c>
    </row>
    <row r="326" spans="7:25" x14ac:dyDescent="0.25">
      <c r="G326" s="303">
        <f t="shared" si="82"/>
        <v>0</v>
      </c>
      <c r="H326" s="304">
        <f t="shared" si="86"/>
        <v>319</v>
      </c>
      <c r="I326" s="305" t="str">
        <f t="shared" si="88"/>
        <v/>
      </c>
      <c r="J326" s="305" t="str">
        <f t="shared" si="89"/>
        <v/>
      </c>
      <c r="K326" s="305" t="str">
        <f t="shared" si="90"/>
        <v/>
      </c>
      <c r="L326" s="305" t="str">
        <f t="shared" si="91"/>
        <v/>
      </c>
      <c r="M326" s="314" t="str">
        <f t="shared" si="92"/>
        <v/>
      </c>
      <c r="N326" s="305" t="str">
        <f t="shared" si="93"/>
        <v/>
      </c>
      <c r="O326" s="327" t="e">
        <f t="shared" si="84"/>
        <v>#NUM!</v>
      </c>
      <c r="P326" s="305"/>
      <c r="Q326" s="303">
        <f t="shared" si="83"/>
        <v>0</v>
      </c>
      <c r="R326" s="304">
        <f t="shared" si="87"/>
        <v>-219</v>
      </c>
      <c r="S326" s="305" t="str">
        <f t="shared" si="94"/>
        <v/>
      </c>
      <c r="T326" s="305" t="str">
        <f t="shared" si="95"/>
        <v/>
      </c>
      <c r="U326" s="305" t="str">
        <f t="shared" si="96"/>
        <v/>
      </c>
      <c r="V326" s="305" t="str">
        <f t="shared" si="97"/>
        <v/>
      </c>
      <c r="W326" s="314" t="str">
        <f t="shared" si="98"/>
        <v/>
      </c>
      <c r="X326" s="314" t="str">
        <f t="shared" si="99"/>
        <v/>
      </c>
      <c r="Y326" s="326" t="str">
        <f t="shared" si="85"/>
        <v/>
      </c>
    </row>
    <row r="327" spans="7:25" x14ac:dyDescent="0.25">
      <c r="G327" s="303">
        <f t="shared" ref="G327:G390" si="100">IF(H327&lt;=$C$16,1,0)</f>
        <v>0</v>
      </c>
      <c r="H327" s="304">
        <f t="shared" si="86"/>
        <v>320</v>
      </c>
      <c r="I327" s="305" t="str">
        <f t="shared" si="88"/>
        <v/>
      </c>
      <c r="J327" s="305" t="str">
        <f t="shared" si="89"/>
        <v/>
      </c>
      <c r="K327" s="305" t="str">
        <f t="shared" si="90"/>
        <v/>
      </c>
      <c r="L327" s="305" t="str">
        <f t="shared" si="91"/>
        <v/>
      </c>
      <c r="M327" s="314" t="str">
        <f t="shared" si="92"/>
        <v/>
      </c>
      <c r="N327" s="305" t="str">
        <f t="shared" si="93"/>
        <v/>
      </c>
      <c r="O327" s="327" t="e">
        <f t="shared" si="84"/>
        <v>#NUM!</v>
      </c>
      <c r="P327" s="305"/>
      <c r="Q327" s="303">
        <f t="shared" ref="Q327:Q390" si="101">IF(R327&gt;=$C$16,1,0)</f>
        <v>0</v>
      </c>
      <c r="R327" s="304">
        <f t="shared" si="87"/>
        <v>-220</v>
      </c>
      <c r="S327" s="305" t="str">
        <f t="shared" si="94"/>
        <v/>
      </c>
      <c r="T327" s="305" t="str">
        <f t="shared" si="95"/>
        <v/>
      </c>
      <c r="U327" s="305" t="str">
        <f t="shared" si="96"/>
        <v/>
      </c>
      <c r="V327" s="305" t="str">
        <f t="shared" si="97"/>
        <v/>
      </c>
      <c r="W327" s="314" t="str">
        <f t="shared" si="98"/>
        <v/>
      </c>
      <c r="X327" s="314" t="str">
        <f t="shared" si="99"/>
        <v/>
      </c>
      <c r="Y327" s="326" t="str">
        <f t="shared" si="85"/>
        <v/>
      </c>
    </row>
    <row r="328" spans="7:25" x14ac:dyDescent="0.25">
      <c r="G328" s="303">
        <f t="shared" si="100"/>
        <v>0</v>
      </c>
      <c r="H328" s="304">
        <f t="shared" si="86"/>
        <v>321</v>
      </c>
      <c r="I328" s="305" t="str">
        <f t="shared" si="88"/>
        <v/>
      </c>
      <c r="J328" s="305" t="str">
        <f t="shared" si="89"/>
        <v/>
      </c>
      <c r="K328" s="305" t="str">
        <f t="shared" si="90"/>
        <v/>
      </c>
      <c r="L328" s="305" t="str">
        <f t="shared" si="91"/>
        <v/>
      </c>
      <c r="M328" s="314" t="str">
        <f t="shared" si="92"/>
        <v/>
      </c>
      <c r="N328" s="305" t="str">
        <f t="shared" si="93"/>
        <v/>
      </c>
      <c r="O328" s="327" t="e">
        <f t="shared" ref="O328:O391" si="102">IF($C$15=1,IF(AND(O327&lt;=$C$17,M328&lt;=$C$17),M328,""),"")</f>
        <v>#NUM!</v>
      </c>
      <c r="P328" s="305"/>
      <c r="Q328" s="303">
        <f t="shared" si="101"/>
        <v>0</v>
      </c>
      <c r="R328" s="304">
        <f t="shared" si="87"/>
        <v>-221</v>
      </c>
      <c r="S328" s="305" t="str">
        <f t="shared" si="94"/>
        <v/>
      </c>
      <c r="T328" s="305" t="str">
        <f t="shared" si="95"/>
        <v/>
      </c>
      <c r="U328" s="305" t="str">
        <f t="shared" si="96"/>
        <v/>
      </c>
      <c r="V328" s="305" t="str">
        <f t="shared" si="97"/>
        <v/>
      </c>
      <c r="W328" s="314" t="str">
        <f t="shared" si="98"/>
        <v/>
      </c>
      <c r="X328" s="314" t="str">
        <f t="shared" si="99"/>
        <v/>
      </c>
      <c r="Y328" s="326" t="str">
        <f t="shared" ref="Y328:Y391" si="103">IF($C$15=-1,IF(AND(Y327&lt;=$C$17,W328&lt;=$C$17),M328,""),"")</f>
        <v/>
      </c>
    </row>
    <row r="329" spans="7:25" x14ac:dyDescent="0.25">
      <c r="G329" s="303">
        <f t="shared" si="100"/>
        <v>0</v>
      </c>
      <c r="H329" s="304">
        <f t="shared" ref="H329:H392" si="104">H328+1</f>
        <v>322</v>
      </c>
      <c r="I329" s="305" t="str">
        <f t="shared" si="88"/>
        <v/>
      </c>
      <c r="J329" s="305" t="str">
        <f t="shared" si="89"/>
        <v/>
      </c>
      <c r="K329" s="305" t="str">
        <f t="shared" si="90"/>
        <v/>
      </c>
      <c r="L329" s="305" t="str">
        <f t="shared" si="91"/>
        <v/>
      </c>
      <c r="M329" s="314" t="str">
        <f t="shared" si="92"/>
        <v/>
      </c>
      <c r="N329" s="305" t="str">
        <f t="shared" si="93"/>
        <v/>
      </c>
      <c r="O329" s="327" t="e">
        <f t="shared" si="102"/>
        <v>#NUM!</v>
      </c>
      <c r="P329" s="305"/>
      <c r="Q329" s="303">
        <f t="shared" si="101"/>
        <v>0</v>
      </c>
      <c r="R329" s="304">
        <f t="shared" ref="R329:R392" si="105">R328-1</f>
        <v>-222</v>
      </c>
      <c r="S329" s="305" t="str">
        <f t="shared" si="94"/>
        <v/>
      </c>
      <c r="T329" s="305" t="str">
        <f t="shared" si="95"/>
        <v/>
      </c>
      <c r="U329" s="305" t="str">
        <f t="shared" si="96"/>
        <v/>
      </c>
      <c r="V329" s="305" t="str">
        <f t="shared" si="97"/>
        <v/>
      </c>
      <c r="W329" s="314" t="str">
        <f t="shared" si="98"/>
        <v/>
      </c>
      <c r="X329" s="314" t="str">
        <f t="shared" si="99"/>
        <v/>
      </c>
      <c r="Y329" s="326" t="str">
        <f t="shared" si="103"/>
        <v/>
      </c>
    </row>
    <row r="330" spans="7:25" x14ac:dyDescent="0.25">
      <c r="G330" s="303">
        <f t="shared" si="100"/>
        <v>0</v>
      </c>
      <c r="H330" s="304">
        <f t="shared" si="104"/>
        <v>323</v>
      </c>
      <c r="I330" s="305" t="str">
        <f t="shared" si="88"/>
        <v/>
      </c>
      <c r="J330" s="305" t="str">
        <f t="shared" si="89"/>
        <v/>
      </c>
      <c r="K330" s="305" t="str">
        <f t="shared" si="90"/>
        <v/>
      </c>
      <c r="L330" s="305" t="str">
        <f t="shared" si="91"/>
        <v/>
      </c>
      <c r="M330" s="314" t="str">
        <f t="shared" si="92"/>
        <v/>
      </c>
      <c r="N330" s="305" t="str">
        <f t="shared" si="93"/>
        <v/>
      </c>
      <c r="O330" s="327" t="e">
        <f t="shared" si="102"/>
        <v>#NUM!</v>
      </c>
      <c r="P330" s="305"/>
      <c r="Q330" s="303">
        <f t="shared" si="101"/>
        <v>0</v>
      </c>
      <c r="R330" s="304">
        <f t="shared" si="105"/>
        <v>-223</v>
      </c>
      <c r="S330" s="305" t="str">
        <f t="shared" si="94"/>
        <v/>
      </c>
      <c r="T330" s="305" t="str">
        <f t="shared" si="95"/>
        <v/>
      </c>
      <c r="U330" s="305" t="str">
        <f t="shared" si="96"/>
        <v/>
      </c>
      <c r="V330" s="305" t="str">
        <f t="shared" si="97"/>
        <v/>
      </c>
      <c r="W330" s="314" t="str">
        <f t="shared" si="98"/>
        <v/>
      </c>
      <c r="X330" s="314" t="str">
        <f t="shared" si="99"/>
        <v/>
      </c>
      <c r="Y330" s="326" t="str">
        <f t="shared" si="103"/>
        <v/>
      </c>
    </row>
    <row r="331" spans="7:25" x14ac:dyDescent="0.25">
      <c r="G331" s="303">
        <f t="shared" si="100"/>
        <v>0</v>
      </c>
      <c r="H331" s="304">
        <f t="shared" si="104"/>
        <v>324</v>
      </c>
      <c r="I331" s="305" t="str">
        <f t="shared" si="88"/>
        <v/>
      </c>
      <c r="J331" s="305" t="str">
        <f t="shared" si="89"/>
        <v/>
      </c>
      <c r="K331" s="305" t="str">
        <f t="shared" si="90"/>
        <v/>
      </c>
      <c r="L331" s="305" t="str">
        <f t="shared" si="91"/>
        <v/>
      </c>
      <c r="M331" s="314" t="str">
        <f t="shared" si="92"/>
        <v/>
      </c>
      <c r="N331" s="305" t="str">
        <f t="shared" si="93"/>
        <v/>
      </c>
      <c r="O331" s="327" t="e">
        <f t="shared" si="102"/>
        <v>#NUM!</v>
      </c>
      <c r="P331" s="305"/>
      <c r="Q331" s="303">
        <f t="shared" si="101"/>
        <v>0</v>
      </c>
      <c r="R331" s="304">
        <f t="shared" si="105"/>
        <v>-224</v>
      </c>
      <c r="S331" s="305" t="str">
        <f t="shared" si="94"/>
        <v/>
      </c>
      <c r="T331" s="305" t="str">
        <f t="shared" si="95"/>
        <v/>
      </c>
      <c r="U331" s="305" t="str">
        <f t="shared" si="96"/>
        <v/>
      </c>
      <c r="V331" s="305" t="str">
        <f t="shared" si="97"/>
        <v/>
      </c>
      <c r="W331" s="314" t="str">
        <f t="shared" si="98"/>
        <v/>
      </c>
      <c r="X331" s="314" t="str">
        <f t="shared" si="99"/>
        <v/>
      </c>
      <c r="Y331" s="326" t="str">
        <f t="shared" si="103"/>
        <v/>
      </c>
    </row>
    <row r="332" spans="7:25" x14ac:dyDescent="0.25">
      <c r="G332" s="303">
        <f t="shared" si="100"/>
        <v>0</v>
      </c>
      <c r="H332" s="304">
        <f t="shared" si="104"/>
        <v>325</v>
      </c>
      <c r="I332" s="305" t="str">
        <f t="shared" si="88"/>
        <v/>
      </c>
      <c r="J332" s="305" t="str">
        <f t="shared" si="89"/>
        <v/>
      </c>
      <c r="K332" s="305" t="str">
        <f t="shared" si="90"/>
        <v/>
      </c>
      <c r="L332" s="305" t="str">
        <f t="shared" si="91"/>
        <v/>
      </c>
      <c r="M332" s="314" t="str">
        <f t="shared" si="92"/>
        <v/>
      </c>
      <c r="N332" s="305" t="str">
        <f t="shared" si="93"/>
        <v/>
      </c>
      <c r="O332" s="327" t="e">
        <f t="shared" si="102"/>
        <v>#NUM!</v>
      </c>
      <c r="P332" s="305"/>
      <c r="Q332" s="303">
        <f t="shared" si="101"/>
        <v>0</v>
      </c>
      <c r="R332" s="304">
        <f t="shared" si="105"/>
        <v>-225</v>
      </c>
      <c r="S332" s="305" t="str">
        <f t="shared" si="94"/>
        <v/>
      </c>
      <c r="T332" s="305" t="str">
        <f t="shared" si="95"/>
        <v/>
      </c>
      <c r="U332" s="305" t="str">
        <f t="shared" si="96"/>
        <v/>
      </c>
      <c r="V332" s="305" t="str">
        <f t="shared" si="97"/>
        <v/>
      </c>
      <c r="W332" s="314" t="str">
        <f t="shared" si="98"/>
        <v/>
      </c>
      <c r="X332" s="314" t="str">
        <f t="shared" si="99"/>
        <v/>
      </c>
      <c r="Y332" s="326" t="str">
        <f t="shared" si="103"/>
        <v/>
      </c>
    </row>
    <row r="333" spans="7:25" x14ac:dyDescent="0.25">
      <c r="G333" s="303">
        <f t="shared" si="100"/>
        <v>0</v>
      </c>
      <c r="H333" s="304">
        <f t="shared" si="104"/>
        <v>326</v>
      </c>
      <c r="I333" s="305" t="str">
        <f t="shared" ref="I333:I396" si="106">IF(G333,H333,"")</f>
        <v/>
      </c>
      <c r="J333" s="305" t="str">
        <f t="shared" ref="J333:J396" si="107">IF(G333,$D$5-H333,"")</f>
        <v/>
      </c>
      <c r="K333" s="305" t="str">
        <f t="shared" ref="K333:K396" si="108">IF(G333,$B$7-H333,"")</f>
        <v/>
      </c>
      <c r="L333" s="305" t="str">
        <f t="shared" ref="L333:L396" si="109">IF(G333,$D$7-SUM(I333:K333),"")</f>
        <v/>
      </c>
      <c r="M333" s="314" t="str">
        <f t="shared" ref="M333:M396" si="110">IF(G333,M332*(K332*J332)/(L333*I333),"")</f>
        <v/>
      </c>
      <c r="N333" s="305" t="str">
        <f t="shared" ref="N333:N396" si="111">IF(AND(G333=1,I333&lt;=$B$5),M333,"")</f>
        <v/>
      </c>
      <c r="O333" s="327" t="e">
        <f t="shared" si="102"/>
        <v>#NUM!</v>
      </c>
      <c r="P333" s="305"/>
      <c r="Q333" s="303">
        <f t="shared" si="101"/>
        <v>0</v>
      </c>
      <c r="R333" s="304">
        <f t="shared" si="105"/>
        <v>-226</v>
      </c>
      <c r="S333" s="305" t="str">
        <f t="shared" ref="S333:S396" si="112">IF(Q333,R333,"")</f>
        <v/>
      </c>
      <c r="T333" s="305" t="str">
        <f t="shared" ref="T333:T396" si="113">IF(Q333,$D$5-R333,"")</f>
        <v/>
      </c>
      <c r="U333" s="305" t="str">
        <f t="shared" ref="U333:U396" si="114">IF(Q333,$B$7-R333,"")</f>
        <v/>
      </c>
      <c r="V333" s="305" t="str">
        <f t="shared" ref="V333:V396" si="115">IF(Q333,$D$7-SUM(S333:U333),"")</f>
        <v/>
      </c>
      <c r="W333" s="314" t="str">
        <f t="shared" ref="W333:W396" si="116">IF(Q333,W332*(S332*V332)/(U333*T333),"")</f>
        <v/>
      </c>
      <c r="X333" s="314" t="str">
        <f t="shared" ref="X333:X396" si="117">IF(AND(Q333=1,S333&gt;=$B$5),W333,"")</f>
        <v/>
      </c>
      <c r="Y333" s="326" t="str">
        <f t="shared" si="103"/>
        <v/>
      </c>
    </row>
    <row r="334" spans="7:25" x14ac:dyDescent="0.25">
      <c r="G334" s="303">
        <f t="shared" si="100"/>
        <v>0</v>
      </c>
      <c r="H334" s="304">
        <f t="shared" si="104"/>
        <v>327</v>
      </c>
      <c r="I334" s="305" t="str">
        <f t="shared" si="106"/>
        <v/>
      </c>
      <c r="J334" s="305" t="str">
        <f t="shared" si="107"/>
        <v/>
      </c>
      <c r="K334" s="305" t="str">
        <f t="shared" si="108"/>
        <v/>
      </c>
      <c r="L334" s="305" t="str">
        <f t="shared" si="109"/>
        <v/>
      </c>
      <c r="M334" s="314" t="str">
        <f t="shared" si="110"/>
        <v/>
      </c>
      <c r="N334" s="305" t="str">
        <f t="shared" si="111"/>
        <v/>
      </c>
      <c r="O334" s="327" t="e">
        <f t="shared" si="102"/>
        <v>#NUM!</v>
      </c>
      <c r="P334" s="305"/>
      <c r="Q334" s="303">
        <f t="shared" si="101"/>
        <v>0</v>
      </c>
      <c r="R334" s="304">
        <f t="shared" si="105"/>
        <v>-227</v>
      </c>
      <c r="S334" s="305" t="str">
        <f t="shared" si="112"/>
        <v/>
      </c>
      <c r="T334" s="305" t="str">
        <f t="shared" si="113"/>
        <v/>
      </c>
      <c r="U334" s="305" t="str">
        <f t="shared" si="114"/>
        <v/>
      </c>
      <c r="V334" s="305" t="str">
        <f t="shared" si="115"/>
        <v/>
      </c>
      <c r="W334" s="314" t="str">
        <f t="shared" si="116"/>
        <v/>
      </c>
      <c r="X334" s="314" t="str">
        <f t="shared" si="117"/>
        <v/>
      </c>
      <c r="Y334" s="326" t="str">
        <f t="shared" si="103"/>
        <v/>
      </c>
    </row>
    <row r="335" spans="7:25" x14ac:dyDescent="0.25">
      <c r="G335" s="303">
        <f t="shared" si="100"/>
        <v>0</v>
      </c>
      <c r="H335" s="304">
        <f t="shared" si="104"/>
        <v>328</v>
      </c>
      <c r="I335" s="305" t="str">
        <f t="shared" si="106"/>
        <v/>
      </c>
      <c r="J335" s="305" t="str">
        <f t="shared" si="107"/>
        <v/>
      </c>
      <c r="K335" s="305" t="str">
        <f t="shared" si="108"/>
        <v/>
      </c>
      <c r="L335" s="305" t="str">
        <f t="shared" si="109"/>
        <v/>
      </c>
      <c r="M335" s="314" t="str">
        <f t="shared" si="110"/>
        <v/>
      </c>
      <c r="N335" s="305" t="str">
        <f t="shared" si="111"/>
        <v/>
      </c>
      <c r="O335" s="327" t="e">
        <f t="shared" si="102"/>
        <v>#NUM!</v>
      </c>
      <c r="P335" s="305"/>
      <c r="Q335" s="303">
        <f t="shared" si="101"/>
        <v>0</v>
      </c>
      <c r="R335" s="304">
        <f t="shared" si="105"/>
        <v>-228</v>
      </c>
      <c r="S335" s="305" t="str">
        <f t="shared" si="112"/>
        <v/>
      </c>
      <c r="T335" s="305" t="str">
        <f t="shared" si="113"/>
        <v/>
      </c>
      <c r="U335" s="305" t="str">
        <f t="shared" si="114"/>
        <v/>
      </c>
      <c r="V335" s="305" t="str">
        <f t="shared" si="115"/>
        <v/>
      </c>
      <c r="W335" s="314" t="str">
        <f t="shared" si="116"/>
        <v/>
      </c>
      <c r="X335" s="314" t="str">
        <f t="shared" si="117"/>
        <v/>
      </c>
      <c r="Y335" s="326" t="str">
        <f t="shared" si="103"/>
        <v/>
      </c>
    </row>
    <row r="336" spans="7:25" x14ac:dyDescent="0.25">
      <c r="G336" s="303">
        <f t="shared" si="100"/>
        <v>0</v>
      </c>
      <c r="H336" s="304">
        <f t="shared" si="104"/>
        <v>329</v>
      </c>
      <c r="I336" s="305" t="str">
        <f t="shared" si="106"/>
        <v/>
      </c>
      <c r="J336" s="305" t="str">
        <f t="shared" si="107"/>
        <v/>
      </c>
      <c r="K336" s="305" t="str">
        <f t="shared" si="108"/>
        <v/>
      </c>
      <c r="L336" s="305" t="str">
        <f t="shared" si="109"/>
        <v/>
      </c>
      <c r="M336" s="314" t="str">
        <f t="shared" si="110"/>
        <v/>
      </c>
      <c r="N336" s="305" t="str">
        <f t="shared" si="111"/>
        <v/>
      </c>
      <c r="O336" s="327" t="e">
        <f t="shared" si="102"/>
        <v>#NUM!</v>
      </c>
      <c r="P336" s="305"/>
      <c r="Q336" s="303">
        <f t="shared" si="101"/>
        <v>0</v>
      </c>
      <c r="R336" s="304">
        <f t="shared" si="105"/>
        <v>-229</v>
      </c>
      <c r="S336" s="305" t="str">
        <f t="shared" si="112"/>
        <v/>
      </c>
      <c r="T336" s="305" t="str">
        <f t="shared" si="113"/>
        <v/>
      </c>
      <c r="U336" s="305" t="str">
        <f t="shared" si="114"/>
        <v/>
      </c>
      <c r="V336" s="305" t="str">
        <f t="shared" si="115"/>
        <v/>
      </c>
      <c r="W336" s="314" t="str">
        <f t="shared" si="116"/>
        <v/>
      </c>
      <c r="X336" s="314" t="str">
        <f t="shared" si="117"/>
        <v/>
      </c>
      <c r="Y336" s="326" t="str">
        <f t="shared" si="103"/>
        <v/>
      </c>
    </row>
    <row r="337" spans="7:25" x14ac:dyDescent="0.25">
      <c r="G337" s="303">
        <f t="shared" si="100"/>
        <v>0</v>
      </c>
      <c r="H337" s="304">
        <f t="shared" si="104"/>
        <v>330</v>
      </c>
      <c r="I337" s="305" t="str">
        <f t="shared" si="106"/>
        <v/>
      </c>
      <c r="J337" s="305" t="str">
        <f t="shared" si="107"/>
        <v/>
      </c>
      <c r="K337" s="305" t="str">
        <f t="shared" si="108"/>
        <v/>
      </c>
      <c r="L337" s="305" t="str">
        <f t="shared" si="109"/>
        <v/>
      </c>
      <c r="M337" s="314" t="str">
        <f t="shared" si="110"/>
        <v/>
      </c>
      <c r="N337" s="305" t="str">
        <f t="shared" si="111"/>
        <v/>
      </c>
      <c r="O337" s="327" t="e">
        <f t="shared" si="102"/>
        <v>#NUM!</v>
      </c>
      <c r="P337" s="305"/>
      <c r="Q337" s="303">
        <f t="shared" si="101"/>
        <v>0</v>
      </c>
      <c r="R337" s="304">
        <f t="shared" si="105"/>
        <v>-230</v>
      </c>
      <c r="S337" s="305" t="str">
        <f t="shared" si="112"/>
        <v/>
      </c>
      <c r="T337" s="305" t="str">
        <f t="shared" si="113"/>
        <v/>
      </c>
      <c r="U337" s="305" t="str">
        <f t="shared" si="114"/>
        <v/>
      </c>
      <c r="V337" s="305" t="str">
        <f t="shared" si="115"/>
        <v/>
      </c>
      <c r="W337" s="314" t="str">
        <f t="shared" si="116"/>
        <v/>
      </c>
      <c r="X337" s="314" t="str">
        <f t="shared" si="117"/>
        <v/>
      </c>
      <c r="Y337" s="326" t="str">
        <f t="shared" si="103"/>
        <v/>
      </c>
    </row>
    <row r="338" spans="7:25" x14ac:dyDescent="0.25">
      <c r="G338" s="303">
        <f t="shared" si="100"/>
        <v>0</v>
      </c>
      <c r="H338" s="304">
        <f t="shared" si="104"/>
        <v>331</v>
      </c>
      <c r="I338" s="305" t="str">
        <f t="shared" si="106"/>
        <v/>
      </c>
      <c r="J338" s="305" t="str">
        <f t="shared" si="107"/>
        <v/>
      </c>
      <c r="K338" s="305" t="str">
        <f t="shared" si="108"/>
        <v/>
      </c>
      <c r="L338" s="305" t="str">
        <f t="shared" si="109"/>
        <v/>
      </c>
      <c r="M338" s="314" t="str">
        <f t="shared" si="110"/>
        <v/>
      </c>
      <c r="N338" s="305" t="str">
        <f t="shared" si="111"/>
        <v/>
      </c>
      <c r="O338" s="327" t="e">
        <f t="shared" si="102"/>
        <v>#NUM!</v>
      </c>
      <c r="P338" s="305"/>
      <c r="Q338" s="303">
        <f t="shared" si="101"/>
        <v>0</v>
      </c>
      <c r="R338" s="304">
        <f t="shared" si="105"/>
        <v>-231</v>
      </c>
      <c r="S338" s="305" t="str">
        <f t="shared" si="112"/>
        <v/>
      </c>
      <c r="T338" s="305" t="str">
        <f t="shared" si="113"/>
        <v/>
      </c>
      <c r="U338" s="305" t="str">
        <f t="shared" si="114"/>
        <v/>
      </c>
      <c r="V338" s="305" t="str">
        <f t="shared" si="115"/>
        <v/>
      </c>
      <c r="W338" s="314" t="str">
        <f t="shared" si="116"/>
        <v/>
      </c>
      <c r="X338" s="314" t="str">
        <f t="shared" si="117"/>
        <v/>
      </c>
      <c r="Y338" s="326" t="str">
        <f t="shared" si="103"/>
        <v/>
      </c>
    </row>
    <row r="339" spans="7:25" x14ac:dyDescent="0.25">
      <c r="G339" s="303">
        <f t="shared" si="100"/>
        <v>0</v>
      </c>
      <c r="H339" s="304">
        <f t="shared" si="104"/>
        <v>332</v>
      </c>
      <c r="I339" s="305" t="str">
        <f t="shared" si="106"/>
        <v/>
      </c>
      <c r="J339" s="305" t="str">
        <f t="shared" si="107"/>
        <v/>
      </c>
      <c r="K339" s="305" t="str">
        <f t="shared" si="108"/>
        <v/>
      </c>
      <c r="L339" s="305" t="str">
        <f t="shared" si="109"/>
        <v/>
      </c>
      <c r="M339" s="314" t="str">
        <f t="shared" si="110"/>
        <v/>
      </c>
      <c r="N339" s="305" t="str">
        <f t="shared" si="111"/>
        <v/>
      </c>
      <c r="O339" s="327" t="e">
        <f t="shared" si="102"/>
        <v>#NUM!</v>
      </c>
      <c r="P339" s="305"/>
      <c r="Q339" s="303">
        <f t="shared" si="101"/>
        <v>0</v>
      </c>
      <c r="R339" s="304">
        <f t="shared" si="105"/>
        <v>-232</v>
      </c>
      <c r="S339" s="305" t="str">
        <f t="shared" si="112"/>
        <v/>
      </c>
      <c r="T339" s="305" t="str">
        <f t="shared" si="113"/>
        <v/>
      </c>
      <c r="U339" s="305" t="str">
        <f t="shared" si="114"/>
        <v/>
      </c>
      <c r="V339" s="305" t="str">
        <f t="shared" si="115"/>
        <v/>
      </c>
      <c r="W339" s="314" t="str">
        <f t="shared" si="116"/>
        <v/>
      </c>
      <c r="X339" s="314" t="str">
        <f t="shared" si="117"/>
        <v/>
      </c>
      <c r="Y339" s="326" t="str">
        <f t="shared" si="103"/>
        <v/>
      </c>
    </row>
    <row r="340" spans="7:25" x14ac:dyDescent="0.25">
      <c r="G340" s="303">
        <f t="shared" si="100"/>
        <v>0</v>
      </c>
      <c r="H340" s="304">
        <f t="shared" si="104"/>
        <v>333</v>
      </c>
      <c r="I340" s="305" t="str">
        <f t="shared" si="106"/>
        <v/>
      </c>
      <c r="J340" s="305" t="str">
        <f t="shared" si="107"/>
        <v/>
      </c>
      <c r="K340" s="305" t="str">
        <f t="shared" si="108"/>
        <v/>
      </c>
      <c r="L340" s="305" t="str">
        <f t="shared" si="109"/>
        <v/>
      </c>
      <c r="M340" s="314" t="str">
        <f t="shared" si="110"/>
        <v/>
      </c>
      <c r="N340" s="305" t="str">
        <f t="shared" si="111"/>
        <v/>
      </c>
      <c r="O340" s="327" t="e">
        <f t="shared" si="102"/>
        <v>#NUM!</v>
      </c>
      <c r="P340" s="305"/>
      <c r="Q340" s="303">
        <f t="shared" si="101"/>
        <v>0</v>
      </c>
      <c r="R340" s="304">
        <f t="shared" si="105"/>
        <v>-233</v>
      </c>
      <c r="S340" s="305" t="str">
        <f t="shared" si="112"/>
        <v/>
      </c>
      <c r="T340" s="305" t="str">
        <f t="shared" si="113"/>
        <v/>
      </c>
      <c r="U340" s="305" t="str">
        <f t="shared" si="114"/>
        <v/>
      </c>
      <c r="V340" s="305" t="str">
        <f t="shared" si="115"/>
        <v/>
      </c>
      <c r="W340" s="314" t="str">
        <f t="shared" si="116"/>
        <v/>
      </c>
      <c r="X340" s="314" t="str">
        <f t="shared" si="117"/>
        <v/>
      </c>
      <c r="Y340" s="326" t="str">
        <f t="shared" si="103"/>
        <v/>
      </c>
    </row>
    <row r="341" spans="7:25" x14ac:dyDescent="0.25">
      <c r="G341" s="303">
        <f t="shared" si="100"/>
        <v>0</v>
      </c>
      <c r="H341" s="304">
        <f t="shared" si="104"/>
        <v>334</v>
      </c>
      <c r="I341" s="305" t="str">
        <f t="shared" si="106"/>
        <v/>
      </c>
      <c r="J341" s="305" t="str">
        <f t="shared" si="107"/>
        <v/>
      </c>
      <c r="K341" s="305" t="str">
        <f t="shared" si="108"/>
        <v/>
      </c>
      <c r="L341" s="305" t="str">
        <f t="shared" si="109"/>
        <v/>
      </c>
      <c r="M341" s="314" t="str">
        <f t="shared" si="110"/>
        <v/>
      </c>
      <c r="N341" s="305" t="str">
        <f t="shared" si="111"/>
        <v/>
      </c>
      <c r="O341" s="327" t="e">
        <f t="shared" si="102"/>
        <v>#NUM!</v>
      </c>
      <c r="P341" s="305"/>
      <c r="Q341" s="303">
        <f t="shared" si="101"/>
        <v>0</v>
      </c>
      <c r="R341" s="304">
        <f t="shared" si="105"/>
        <v>-234</v>
      </c>
      <c r="S341" s="305" t="str">
        <f t="shared" si="112"/>
        <v/>
      </c>
      <c r="T341" s="305" t="str">
        <f t="shared" si="113"/>
        <v/>
      </c>
      <c r="U341" s="305" t="str">
        <f t="shared" si="114"/>
        <v/>
      </c>
      <c r="V341" s="305" t="str">
        <f t="shared" si="115"/>
        <v/>
      </c>
      <c r="W341" s="314" t="str">
        <f t="shared" si="116"/>
        <v/>
      </c>
      <c r="X341" s="314" t="str">
        <f t="shared" si="117"/>
        <v/>
      </c>
      <c r="Y341" s="326" t="str">
        <f t="shared" si="103"/>
        <v/>
      </c>
    </row>
    <row r="342" spans="7:25" x14ac:dyDescent="0.25">
      <c r="G342" s="303">
        <f t="shared" si="100"/>
        <v>0</v>
      </c>
      <c r="H342" s="304">
        <f t="shared" si="104"/>
        <v>335</v>
      </c>
      <c r="I342" s="305" t="str">
        <f t="shared" si="106"/>
        <v/>
      </c>
      <c r="J342" s="305" t="str">
        <f t="shared" si="107"/>
        <v/>
      </c>
      <c r="K342" s="305" t="str">
        <f t="shared" si="108"/>
        <v/>
      </c>
      <c r="L342" s="305" t="str">
        <f t="shared" si="109"/>
        <v/>
      </c>
      <c r="M342" s="314" t="str">
        <f t="shared" si="110"/>
        <v/>
      </c>
      <c r="N342" s="305" t="str">
        <f t="shared" si="111"/>
        <v/>
      </c>
      <c r="O342" s="327" t="e">
        <f t="shared" si="102"/>
        <v>#NUM!</v>
      </c>
      <c r="P342" s="305"/>
      <c r="Q342" s="303">
        <f t="shared" si="101"/>
        <v>0</v>
      </c>
      <c r="R342" s="304">
        <f t="shared" si="105"/>
        <v>-235</v>
      </c>
      <c r="S342" s="305" t="str">
        <f t="shared" si="112"/>
        <v/>
      </c>
      <c r="T342" s="305" t="str">
        <f t="shared" si="113"/>
        <v/>
      </c>
      <c r="U342" s="305" t="str">
        <f t="shared" si="114"/>
        <v/>
      </c>
      <c r="V342" s="305" t="str">
        <f t="shared" si="115"/>
        <v/>
      </c>
      <c r="W342" s="314" t="str">
        <f t="shared" si="116"/>
        <v/>
      </c>
      <c r="X342" s="314" t="str">
        <f t="shared" si="117"/>
        <v/>
      </c>
      <c r="Y342" s="326" t="str">
        <f t="shared" si="103"/>
        <v/>
      </c>
    </row>
    <row r="343" spans="7:25" x14ac:dyDescent="0.25">
      <c r="G343" s="303">
        <f t="shared" si="100"/>
        <v>0</v>
      </c>
      <c r="H343" s="304">
        <f t="shared" si="104"/>
        <v>336</v>
      </c>
      <c r="I343" s="305" t="str">
        <f t="shared" si="106"/>
        <v/>
      </c>
      <c r="J343" s="305" t="str">
        <f t="shared" si="107"/>
        <v/>
      </c>
      <c r="K343" s="305" t="str">
        <f t="shared" si="108"/>
        <v/>
      </c>
      <c r="L343" s="305" t="str">
        <f t="shared" si="109"/>
        <v/>
      </c>
      <c r="M343" s="314" t="str">
        <f t="shared" si="110"/>
        <v/>
      </c>
      <c r="N343" s="305" t="str">
        <f t="shared" si="111"/>
        <v/>
      </c>
      <c r="O343" s="327" t="e">
        <f t="shared" si="102"/>
        <v>#NUM!</v>
      </c>
      <c r="P343" s="305"/>
      <c r="Q343" s="303">
        <f t="shared" si="101"/>
        <v>0</v>
      </c>
      <c r="R343" s="304">
        <f t="shared" si="105"/>
        <v>-236</v>
      </c>
      <c r="S343" s="305" t="str">
        <f t="shared" si="112"/>
        <v/>
      </c>
      <c r="T343" s="305" t="str">
        <f t="shared" si="113"/>
        <v/>
      </c>
      <c r="U343" s="305" t="str">
        <f t="shared" si="114"/>
        <v/>
      </c>
      <c r="V343" s="305" t="str">
        <f t="shared" si="115"/>
        <v/>
      </c>
      <c r="W343" s="314" t="str">
        <f t="shared" si="116"/>
        <v/>
      </c>
      <c r="X343" s="314" t="str">
        <f t="shared" si="117"/>
        <v/>
      </c>
      <c r="Y343" s="326" t="str">
        <f t="shared" si="103"/>
        <v/>
      </c>
    </row>
    <row r="344" spans="7:25" x14ac:dyDescent="0.25">
      <c r="G344" s="303">
        <f t="shared" si="100"/>
        <v>0</v>
      </c>
      <c r="H344" s="304">
        <f t="shared" si="104"/>
        <v>337</v>
      </c>
      <c r="I344" s="305" t="str">
        <f t="shared" si="106"/>
        <v/>
      </c>
      <c r="J344" s="305" t="str">
        <f t="shared" si="107"/>
        <v/>
      </c>
      <c r="K344" s="305" t="str">
        <f t="shared" si="108"/>
        <v/>
      </c>
      <c r="L344" s="305" t="str">
        <f t="shared" si="109"/>
        <v/>
      </c>
      <c r="M344" s="314" t="str">
        <f t="shared" si="110"/>
        <v/>
      </c>
      <c r="N344" s="305" t="str">
        <f t="shared" si="111"/>
        <v/>
      </c>
      <c r="O344" s="327" t="e">
        <f t="shared" si="102"/>
        <v>#NUM!</v>
      </c>
      <c r="P344" s="305"/>
      <c r="Q344" s="303">
        <f t="shared" si="101"/>
        <v>0</v>
      </c>
      <c r="R344" s="304">
        <f t="shared" si="105"/>
        <v>-237</v>
      </c>
      <c r="S344" s="305" t="str">
        <f t="shared" si="112"/>
        <v/>
      </c>
      <c r="T344" s="305" t="str">
        <f t="shared" si="113"/>
        <v/>
      </c>
      <c r="U344" s="305" t="str">
        <f t="shared" si="114"/>
        <v/>
      </c>
      <c r="V344" s="305" t="str">
        <f t="shared" si="115"/>
        <v/>
      </c>
      <c r="W344" s="314" t="str">
        <f t="shared" si="116"/>
        <v/>
      </c>
      <c r="X344" s="314" t="str">
        <f t="shared" si="117"/>
        <v/>
      </c>
      <c r="Y344" s="326" t="str">
        <f t="shared" si="103"/>
        <v/>
      </c>
    </row>
    <row r="345" spans="7:25" x14ac:dyDescent="0.25">
      <c r="G345" s="303">
        <f t="shared" si="100"/>
        <v>0</v>
      </c>
      <c r="H345" s="304">
        <f t="shared" si="104"/>
        <v>338</v>
      </c>
      <c r="I345" s="305" t="str">
        <f t="shared" si="106"/>
        <v/>
      </c>
      <c r="J345" s="305" t="str">
        <f t="shared" si="107"/>
        <v/>
      </c>
      <c r="K345" s="305" t="str">
        <f t="shared" si="108"/>
        <v/>
      </c>
      <c r="L345" s="305" t="str">
        <f t="shared" si="109"/>
        <v/>
      </c>
      <c r="M345" s="314" t="str">
        <f t="shared" si="110"/>
        <v/>
      </c>
      <c r="N345" s="305" t="str">
        <f t="shared" si="111"/>
        <v/>
      </c>
      <c r="O345" s="327" t="e">
        <f t="shared" si="102"/>
        <v>#NUM!</v>
      </c>
      <c r="P345" s="305"/>
      <c r="Q345" s="303">
        <f t="shared" si="101"/>
        <v>0</v>
      </c>
      <c r="R345" s="304">
        <f t="shared" si="105"/>
        <v>-238</v>
      </c>
      <c r="S345" s="305" t="str">
        <f t="shared" si="112"/>
        <v/>
      </c>
      <c r="T345" s="305" t="str">
        <f t="shared" si="113"/>
        <v/>
      </c>
      <c r="U345" s="305" t="str">
        <f t="shared" si="114"/>
        <v/>
      </c>
      <c r="V345" s="305" t="str">
        <f t="shared" si="115"/>
        <v/>
      </c>
      <c r="W345" s="314" t="str">
        <f t="shared" si="116"/>
        <v/>
      </c>
      <c r="X345" s="314" t="str">
        <f t="shared" si="117"/>
        <v/>
      </c>
      <c r="Y345" s="326" t="str">
        <f t="shared" si="103"/>
        <v/>
      </c>
    </row>
    <row r="346" spans="7:25" x14ac:dyDescent="0.25">
      <c r="G346" s="303">
        <f t="shared" si="100"/>
        <v>0</v>
      </c>
      <c r="H346" s="304">
        <f t="shared" si="104"/>
        <v>339</v>
      </c>
      <c r="I346" s="305" t="str">
        <f t="shared" si="106"/>
        <v/>
      </c>
      <c r="J346" s="305" t="str">
        <f t="shared" si="107"/>
        <v/>
      </c>
      <c r="K346" s="305" t="str">
        <f t="shared" si="108"/>
        <v/>
      </c>
      <c r="L346" s="305" t="str">
        <f t="shared" si="109"/>
        <v/>
      </c>
      <c r="M346" s="314" t="str">
        <f t="shared" si="110"/>
        <v/>
      </c>
      <c r="N346" s="305" t="str">
        <f t="shared" si="111"/>
        <v/>
      </c>
      <c r="O346" s="327" t="e">
        <f t="shared" si="102"/>
        <v>#NUM!</v>
      </c>
      <c r="P346" s="305"/>
      <c r="Q346" s="303">
        <f t="shared" si="101"/>
        <v>0</v>
      </c>
      <c r="R346" s="304">
        <f t="shared" si="105"/>
        <v>-239</v>
      </c>
      <c r="S346" s="305" t="str">
        <f t="shared" si="112"/>
        <v/>
      </c>
      <c r="T346" s="305" t="str">
        <f t="shared" si="113"/>
        <v/>
      </c>
      <c r="U346" s="305" t="str">
        <f t="shared" si="114"/>
        <v/>
      </c>
      <c r="V346" s="305" t="str">
        <f t="shared" si="115"/>
        <v/>
      </c>
      <c r="W346" s="314" t="str">
        <f t="shared" si="116"/>
        <v/>
      </c>
      <c r="X346" s="314" t="str">
        <f t="shared" si="117"/>
        <v/>
      </c>
      <c r="Y346" s="326" t="str">
        <f t="shared" si="103"/>
        <v/>
      </c>
    </row>
    <row r="347" spans="7:25" x14ac:dyDescent="0.25">
      <c r="G347" s="303">
        <f t="shared" si="100"/>
        <v>0</v>
      </c>
      <c r="H347" s="304">
        <f t="shared" si="104"/>
        <v>340</v>
      </c>
      <c r="I347" s="305" t="str">
        <f t="shared" si="106"/>
        <v/>
      </c>
      <c r="J347" s="305" t="str">
        <f t="shared" si="107"/>
        <v/>
      </c>
      <c r="K347" s="305" t="str">
        <f t="shared" si="108"/>
        <v/>
      </c>
      <c r="L347" s="305" t="str">
        <f t="shared" si="109"/>
        <v/>
      </c>
      <c r="M347" s="314" t="str">
        <f t="shared" si="110"/>
        <v/>
      </c>
      <c r="N347" s="305" t="str">
        <f t="shared" si="111"/>
        <v/>
      </c>
      <c r="O347" s="327" t="e">
        <f t="shared" si="102"/>
        <v>#NUM!</v>
      </c>
      <c r="P347" s="305"/>
      <c r="Q347" s="303">
        <f t="shared" si="101"/>
        <v>0</v>
      </c>
      <c r="R347" s="304">
        <f t="shared" si="105"/>
        <v>-240</v>
      </c>
      <c r="S347" s="305" t="str">
        <f t="shared" si="112"/>
        <v/>
      </c>
      <c r="T347" s="305" t="str">
        <f t="shared" si="113"/>
        <v/>
      </c>
      <c r="U347" s="305" t="str">
        <f t="shared" si="114"/>
        <v/>
      </c>
      <c r="V347" s="305" t="str">
        <f t="shared" si="115"/>
        <v/>
      </c>
      <c r="W347" s="314" t="str">
        <f t="shared" si="116"/>
        <v/>
      </c>
      <c r="X347" s="314" t="str">
        <f t="shared" si="117"/>
        <v/>
      </c>
      <c r="Y347" s="326" t="str">
        <f t="shared" si="103"/>
        <v/>
      </c>
    </row>
    <row r="348" spans="7:25" x14ac:dyDescent="0.25">
      <c r="G348" s="303">
        <f t="shared" si="100"/>
        <v>0</v>
      </c>
      <c r="H348" s="304">
        <f t="shared" si="104"/>
        <v>341</v>
      </c>
      <c r="I348" s="305" t="str">
        <f t="shared" si="106"/>
        <v/>
      </c>
      <c r="J348" s="305" t="str">
        <f t="shared" si="107"/>
        <v/>
      </c>
      <c r="K348" s="305" t="str">
        <f t="shared" si="108"/>
        <v/>
      </c>
      <c r="L348" s="305" t="str">
        <f t="shared" si="109"/>
        <v/>
      </c>
      <c r="M348" s="314" t="str">
        <f t="shared" si="110"/>
        <v/>
      </c>
      <c r="N348" s="305" t="str">
        <f t="shared" si="111"/>
        <v/>
      </c>
      <c r="O348" s="327" t="e">
        <f t="shared" si="102"/>
        <v>#NUM!</v>
      </c>
      <c r="P348" s="305"/>
      <c r="Q348" s="303">
        <f t="shared" si="101"/>
        <v>0</v>
      </c>
      <c r="R348" s="304">
        <f t="shared" si="105"/>
        <v>-241</v>
      </c>
      <c r="S348" s="305" t="str">
        <f t="shared" si="112"/>
        <v/>
      </c>
      <c r="T348" s="305" t="str">
        <f t="shared" si="113"/>
        <v/>
      </c>
      <c r="U348" s="305" t="str">
        <f t="shared" si="114"/>
        <v/>
      </c>
      <c r="V348" s="305" t="str">
        <f t="shared" si="115"/>
        <v/>
      </c>
      <c r="W348" s="314" t="str">
        <f t="shared" si="116"/>
        <v/>
      </c>
      <c r="X348" s="314" t="str">
        <f t="shared" si="117"/>
        <v/>
      </c>
      <c r="Y348" s="326" t="str">
        <f t="shared" si="103"/>
        <v/>
      </c>
    </row>
    <row r="349" spans="7:25" x14ac:dyDescent="0.25">
      <c r="G349" s="303">
        <f t="shared" si="100"/>
        <v>0</v>
      </c>
      <c r="H349" s="304">
        <f t="shared" si="104"/>
        <v>342</v>
      </c>
      <c r="I349" s="305" t="str">
        <f t="shared" si="106"/>
        <v/>
      </c>
      <c r="J349" s="305" t="str">
        <f t="shared" si="107"/>
        <v/>
      </c>
      <c r="K349" s="305" t="str">
        <f t="shared" si="108"/>
        <v/>
      </c>
      <c r="L349" s="305" t="str">
        <f t="shared" si="109"/>
        <v/>
      </c>
      <c r="M349" s="314" t="str">
        <f t="shared" si="110"/>
        <v/>
      </c>
      <c r="N349" s="305" t="str">
        <f t="shared" si="111"/>
        <v/>
      </c>
      <c r="O349" s="327" t="e">
        <f t="shared" si="102"/>
        <v>#NUM!</v>
      </c>
      <c r="P349" s="305"/>
      <c r="Q349" s="303">
        <f t="shared" si="101"/>
        <v>0</v>
      </c>
      <c r="R349" s="304">
        <f t="shared" si="105"/>
        <v>-242</v>
      </c>
      <c r="S349" s="305" t="str">
        <f t="shared" si="112"/>
        <v/>
      </c>
      <c r="T349" s="305" t="str">
        <f t="shared" si="113"/>
        <v/>
      </c>
      <c r="U349" s="305" t="str">
        <f t="shared" si="114"/>
        <v/>
      </c>
      <c r="V349" s="305" t="str">
        <f t="shared" si="115"/>
        <v/>
      </c>
      <c r="W349" s="314" t="str">
        <f t="shared" si="116"/>
        <v/>
      </c>
      <c r="X349" s="314" t="str">
        <f t="shared" si="117"/>
        <v/>
      </c>
      <c r="Y349" s="326" t="str">
        <f t="shared" si="103"/>
        <v/>
      </c>
    </row>
    <row r="350" spans="7:25" x14ac:dyDescent="0.25">
      <c r="G350" s="303">
        <f t="shared" si="100"/>
        <v>0</v>
      </c>
      <c r="H350" s="304">
        <f t="shared" si="104"/>
        <v>343</v>
      </c>
      <c r="I350" s="305" t="str">
        <f t="shared" si="106"/>
        <v/>
      </c>
      <c r="J350" s="305" t="str">
        <f t="shared" si="107"/>
        <v/>
      </c>
      <c r="K350" s="305" t="str">
        <f t="shared" si="108"/>
        <v/>
      </c>
      <c r="L350" s="305" t="str">
        <f t="shared" si="109"/>
        <v/>
      </c>
      <c r="M350" s="314" t="str">
        <f t="shared" si="110"/>
        <v/>
      </c>
      <c r="N350" s="305" t="str">
        <f t="shared" si="111"/>
        <v/>
      </c>
      <c r="O350" s="327" t="e">
        <f t="shared" si="102"/>
        <v>#NUM!</v>
      </c>
      <c r="P350" s="305"/>
      <c r="Q350" s="303">
        <f t="shared" si="101"/>
        <v>0</v>
      </c>
      <c r="R350" s="304">
        <f t="shared" si="105"/>
        <v>-243</v>
      </c>
      <c r="S350" s="305" t="str">
        <f t="shared" si="112"/>
        <v/>
      </c>
      <c r="T350" s="305" t="str">
        <f t="shared" si="113"/>
        <v/>
      </c>
      <c r="U350" s="305" t="str">
        <f t="shared" si="114"/>
        <v/>
      </c>
      <c r="V350" s="305" t="str">
        <f t="shared" si="115"/>
        <v/>
      </c>
      <c r="W350" s="314" t="str">
        <f t="shared" si="116"/>
        <v/>
      </c>
      <c r="X350" s="314" t="str">
        <f t="shared" si="117"/>
        <v/>
      </c>
      <c r="Y350" s="326" t="str">
        <f t="shared" si="103"/>
        <v/>
      </c>
    </row>
    <row r="351" spans="7:25" x14ac:dyDescent="0.25">
      <c r="G351" s="303">
        <f t="shared" si="100"/>
        <v>0</v>
      </c>
      <c r="H351" s="304">
        <f t="shared" si="104"/>
        <v>344</v>
      </c>
      <c r="I351" s="305" t="str">
        <f t="shared" si="106"/>
        <v/>
      </c>
      <c r="J351" s="305" t="str">
        <f t="shared" si="107"/>
        <v/>
      </c>
      <c r="K351" s="305" t="str">
        <f t="shared" si="108"/>
        <v/>
      </c>
      <c r="L351" s="305" t="str">
        <f t="shared" si="109"/>
        <v/>
      </c>
      <c r="M351" s="314" t="str">
        <f t="shared" si="110"/>
        <v/>
      </c>
      <c r="N351" s="305" t="str">
        <f t="shared" si="111"/>
        <v/>
      </c>
      <c r="O351" s="327" t="e">
        <f t="shared" si="102"/>
        <v>#NUM!</v>
      </c>
      <c r="P351" s="305"/>
      <c r="Q351" s="303">
        <f t="shared" si="101"/>
        <v>0</v>
      </c>
      <c r="R351" s="304">
        <f t="shared" si="105"/>
        <v>-244</v>
      </c>
      <c r="S351" s="305" t="str">
        <f t="shared" si="112"/>
        <v/>
      </c>
      <c r="T351" s="305" t="str">
        <f t="shared" si="113"/>
        <v/>
      </c>
      <c r="U351" s="305" t="str">
        <f t="shared" si="114"/>
        <v/>
      </c>
      <c r="V351" s="305" t="str">
        <f t="shared" si="115"/>
        <v/>
      </c>
      <c r="W351" s="314" t="str">
        <f t="shared" si="116"/>
        <v/>
      </c>
      <c r="X351" s="314" t="str">
        <f t="shared" si="117"/>
        <v/>
      </c>
      <c r="Y351" s="326" t="str">
        <f t="shared" si="103"/>
        <v/>
      </c>
    </row>
    <row r="352" spans="7:25" x14ac:dyDescent="0.25">
      <c r="G352" s="303">
        <f t="shared" si="100"/>
        <v>0</v>
      </c>
      <c r="H352" s="304">
        <f t="shared" si="104"/>
        <v>345</v>
      </c>
      <c r="I352" s="305" t="str">
        <f t="shared" si="106"/>
        <v/>
      </c>
      <c r="J352" s="305" t="str">
        <f t="shared" si="107"/>
        <v/>
      </c>
      <c r="K352" s="305" t="str">
        <f t="shared" si="108"/>
        <v/>
      </c>
      <c r="L352" s="305" t="str">
        <f t="shared" si="109"/>
        <v/>
      </c>
      <c r="M352" s="314" t="str">
        <f t="shared" si="110"/>
        <v/>
      </c>
      <c r="N352" s="305" t="str">
        <f t="shared" si="111"/>
        <v/>
      </c>
      <c r="O352" s="327" t="e">
        <f t="shared" si="102"/>
        <v>#NUM!</v>
      </c>
      <c r="P352" s="305"/>
      <c r="Q352" s="303">
        <f t="shared" si="101"/>
        <v>0</v>
      </c>
      <c r="R352" s="304">
        <f t="shared" si="105"/>
        <v>-245</v>
      </c>
      <c r="S352" s="305" t="str">
        <f t="shared" si="112"/>
        <v/>
      </c>
      <c r="T352" s="305" t="str">
        <f t="shared" si="113"/>
        <v/>
      </c>
      <c r="U352" s="305" t="str">
        <f t="shared" si="114"/>
        <v/>
      </c>
      <c r="V352" s="305" t="str">
        <f t="shared" si="115"/>
        <v/>
      </c>
      <c r="W352" s="314" t="str">
        <f t="shared" si="116"/>
        <v/>
      </c>
      <c r="X352" s="314" t="str">
        <f t="shared" si="117"/>
        <v/>
      </c>
      <c r="Y352" s="326" t="str">
        <f t="shared" si="103"/>
        <v/>
      </c>
    </row>
    <row r="353" spans="7:25" x14ac:dyDescent="0.25">
      <c r="G353" s="303">
        <f t="shared" si="100"/>
        <v>0</v>
      </c>
      <c r="H353" s="304">
        <f t="shared" si="104"/>
        <v>346</v>
      </c>
      <c r="I353" s="305" t="str">
        <f t="shared" si="106"/>
        <v/>
      </c>
      <c r="J353" s="305" t="str">
        <f t="shared" si="107"/>
        <v/>
      </c>
      <c r="K353" s="305" t="str">
        <f t="shared" si="108"/>
        <v/>
      </c>
      <c r="L353" s="305" t="str">
        <f t="shared" si="109"/>
        <v/>
      </c>
      <c r="M353" s="314" t="str">
        <f t="shared" si="110"/>
        <v/>
      </c>
      <c r="N353" s="305" t="str">
        <f t="shared" si="111"/>
        <v/>
      </c>
      <c r="O353" s="327" t="e">
        <f t="shared" si="102"/>
        <v>#NUM!</v>
      </c>
      <c r="P353" s="305"/>
      <c r="Q353" s="303">
        <f t="shared" si="101"/>
        <v>0</v>
      </c>
      <c r="R353" s="304">
        <f t="shared" si="105"/>
        <v>-246</v>
      </c>
      <c r="S353" s="305" t="str">
        <f t="shared" si="112"/>
        <v/>
      </c>
      <c r="T353" s="305" t="str">
        <f t="shared" si="113"/>
        <v/>
      </c>
      <c r="U353" s="305" t="str">
        <f t="shared" si="114"/>
        <v/>
      </c>
      <c r="V353" s="305" t="str">
        <f t="shared" si="115"/>
        <v/>
      </c>
      <c r="W353" s="314" t="str">
        <f t="shared" si="116"/>
        <v/>
      </c>
      <c r="X353" s="314" t="str">
        <f t="shared" si="117"/>
        <v/>
      </c>
      <c r="Y353" s="326" t="str">
        <f t="shared" si="103"/>
        <v/>
      </c>
    </row>
    <row r="354" spans="7:25" x14ac:dyDescent="0.25">
      <c r="G354" s="303">
        <f t="shared" si="100"/>
        <v>0</v>
      </c>
      <c r="H354" s="304">
        <f t="shared" si="104"/>
        <v>347</v>
      </c>
      <c r="I354" s="305" t="str">
        <f t="shared" si="106"/>
        <v/>
      </c>
      <c r="J354" s="305" t="str">
        <f t="shared" si="107"/>
        <v/>
      </c>
      <c r="K354" s="305" t="str">
        <f t="shared" si="108"/>
        <v/>
      </c>
      <c r="L354" s="305" t="str">
        <f t="shared" si="109"/>
        <v/>
      </c>
      <c r="M354" s="314" t="str">
        <f t="shared" si="110"/>
        <v/>
      </c>
      <c r="N354" s="305" t="str">
        <f t="shared" si="111"/>
        <v/>
      </c>
      <c r="O354" s="327" t="e">
        <f t="shared" si="102"/>
        <v>#NUM!</v>
      </c>
      <c r="P354" s="305"/>
      <c r="Q354" s="303">
        <f t="shared" si="101"/>
        <v>0</v>
      </c>
      <c r="R354" s="304">
        <f t="shared" si="105"/>
        <v>-247</v>
      </c>
      <c r="S354" s="305" t="str">
        <f t="shared" si="112"/>
        <v/>
      </c>
      <c r="T354" s="305" t="str">
        <f t="shared" si="113"/>
        <v/>
      </c>
      <c r="U354" s="305" t="str">
        <f t="shared" si="114"/>
        <v/>
      </c>
      <c r="V354" s="305" t="str">
        <f t="shared" si="115"/>
        <v/>
      </c>
      <c r="W354" s="314" t="str">
        <f t="shared" si="116"/>
        <v/>
      </c>
      <c r="X354" s="314" t="str">
        <f t="shared" si="117"/>
        <v/>
      </c>
      <c r="Y354" s="326" t="str">
        <f t="shared" si="103"/>
        <v/>
      </c>
    </row>
    <row r="355" spans="7:25" x14ac:dyDescent="0.25">
      <c r="G355" s="303">
        <f t="shared" si="100"/>
        <v>0</v>
      </c>
      <c r="H355" s="304">
        <f t="shared" si="104"/>
        <v>348</v>
      </c>
      <c r="I355" s="305" t="str">
        <f t="shared" si="106"/>
        <v/>
      </c>
      <c r="J355" s="305" t="str">
        <f t="shared" si="107"/>
        <v/>
      </c>
      <c r="K355" s="305" t="str">
        <f t="shared" si="108"/>
        <v/>
      </c>
      <c r="L355" s="305" t="str">
        <f t="shared" si="109"/>
        <v/>
      </c>
      <c r="M355" s="314" t="str">
        <f t="shared" si="110"/>
        <v/>
      </c>
      <c r="N355" s="305" t="str">
        <f t="shared" si="111"/>
        <v/>
      </c>
      <c r="O355" s="327" t="e">
        <f t="shared" si="102"/>
        <v>#NUM!</v>
      </c>
      <c r="P355" s="305"/>
      <c r="Q355" s="303">
        <f t="shared" si="101"/>
        <v>0</v>
      </c>
      <c r="R355" s="304">
        <f t="shared" si="105"/>
        <v>-248</v>
      </c>
      <c r="S355" s="305" t="str">
        <f t="shared" si="112"/>
        <v/>
      </c>
      <c r="T355" s="305" t="str">
        <f t="shared" si="113"/>
        <v/>
      </c>
      <c r="U355" s="305" t="str">
        <f t="shared" si="114"/>
        <v/>
      </c>
      <c r="V355" s="305" t="str">
        <f t="shared" si="115"/>
        <v/>
      </c>
      <c r="W355" s="314" t="str">
        <f t="shared" si="116"/>
        <v/>
      </c>
      <c r="X355" s="314" t="str">
        <f t="shared" si="117"/>
        <v/>
      </c>
      <c r="Y355" s="326" t="str">
        <f t="shared" si="103"/>
        <v/>
      </c>
    </row>
    <row r="356" spans="7:25" x14ac:dyDescent="0.25">
      <c r="G356" s="303">
        <f t="shared" si="100"/>
        <v>0</v>
      </c>
      <c r="H356" s="304">
        <f t="shared" si="104"/>
        <v>349</v>
      </c>
      <c r="I356" s="305" t="str">
        <f t="shared" si="106"/>
        <v/>
      </c>
      <c r="J356" s="305" t="str">
        <f t="shared" si="107"/>
        <v/>
      </c>
      <c r="K356" s="305" t="str">
        <f t="shared" si="108"/>
        <v/>
      </c>
      <c r="L356" s="305" t="str">
        <f t="shared" si="109"/>
        <v/>
      </c>
      <c r="M356" s="314" t="str">
        <f t="shared" si="110"/>
        <v/>
      </c>
      <c r="N356" s="305" t="str">
        <f t="shared" si="111"/>
        <v/>
      </c>
      <c r="O356" s="327" t="e">
        <f t="shared" si="102"/>
        <v>#NUM!</v>
      </c>
      <c r="P356" s="305"/>
      <c r="Q356" s="303">
        <f t="shared" si="101"/>
        <v>0</v>
      </c>
      <c r="R356" s="304">
        <f t="shared" si="105"/>
        <v>-249</v>
      </c>
      <c r="S356" s="305" t="str">
        <f t="shared" si="112"/>
        <v/>
      </c>
      <c r="T356" s="305" t="str">
        <f t="shared" si="113"/>
        <v/>
      </c>
      <c r="U356" s="305" t="str">
        <f t="shared" si="114"/>
        <v/>
      </c>
      <c r="V356" s="305" t="str">
        <f t="shared" si="115"/>
        <v/>
      </c>
      <c r="W356" s="314" t="str">
        <f t="shared" si="116"/>
        <v/>
      </c>
      <c r="X356" s="314" t="str">
        <f t="shared" si="117"/>
        <v/>
      </c>
      <c r="Y356" s="326" t="str">
        <f t="shared" si="103"/>
        <v/>
      </c>
    </row>
    <row r="357" spans="7:25" x14ac:dyDescent="0.25">
      <c r="G357" s="303">
        <f t="shared" si="100"/>
        <v>0</v>
      </c>
      <c r="H357" s="304">
        <f t="shared" si="104"/>
        <v>350</v>
      </c>
      <c r="I357" s="305" t="str">
        <f t="shared" si="106"/>
        <v/>
      </c>
      <c r="J357" s="305" t="str">
        <f t="shared" si="107"/>
        <v/>
      </c>
      <c r="K357" s="305" t="str">
        <f t="shared" si="108"/>
        <v/>
      </c>
      <c r="L357" s="305" t="str">
        <f t="shared" si="109"/>
        <v/>
      </c>
      <c r="M357" s="314" t="str">
        <f t="shared" si="110"/>
        <v/>
      </c>
      <c r="N357" s="305" t="str">
        <f t="shared" si="111"/>
        <v/>
      </c>
      <c r="O357" s="327" t="e">
        <f t="shared" si="102"/>
        <v>#NUM!</v>
      </c>
      <c r="P357" s="305"/>
      <c r="Q357" s="303">
        <f t="shared" si="101"/>
        <v>0</v>
      </c>
      <c r="R357" s="304">
        <f t="shared" si="105"/>
        <v>-250</v>
      </c>
      <c r="S357" s="305" t="str">
        <f t="shared" si="112"/>
        <v/>
      </c>
      <c r="T357" s="305" t="str">
        <f t="shared" si="113"/>
        <v/>
      </c>
      <c r="U357" s="305" t="str">
        <f t="shared" si="114"/>
        <v/>
      </c>
      <c r="V357" s="305" t="str">
        <f t="shared" si="115"/>
        <v/>
      </c>
      <c r="W357" s="314" t="str">
        <f t="shared" si="116"/>
        <v/>
      </c>
      <c r="X357" s="314" t="str">
        <f t="shared" si="117"/>
        <v/>
      </c>
      <c r="Y357" s="326" t="str">
        <f t="shared" si="103"/>
        <v/>
      </c>
    </row>
    <row r="358" spans="7:25" x14ac:dyDescent="0.25">
      <c r="G358" s="303">
        <f t="shared" si="100"/>
        <v>0</v>
      </c>
      <c r="H358" s="304">
        <f t="shared" si="104"/>
        <v>351</v>
      </c>
      <c r="I358" s="305" t="str">
        <f t="shared" si="106"/>
        <v/>
      </c>
      <c r="J358" s="305" t="str">
        <f t="shared" si="107"/>
        <v/>
      </c>
      <c r="K358" s="305" t="str">
        <f t="shared" si="108"/>
        <v/>
      </c>
      <c r="L358" s="305" t="str">
        <f t="shared" si="109"/>
        <v/>
      </c>
      <c r="M358" s="314" t="str">
        <f t="shared" si="110"/>
        <v/>
      </c>
      <c r="N358" s="305" t="str">
        <f t="shared" si="111"/>
        <v/>
      </c>
      <c r="O358" s="327" t="e">
        <f t="shared" si="102"/>
        <v>#NUM!</v>
      </c>
      <c r="P358" s="305"/>
      <c r="Q358" s="303">
        <f t="shared" si="101"/>
        <v>0</v>
      </c>
      <c r="R358" s="304">
        <f t="shared" si="105"/>
        <v>-251</v>
      </c>
      <c r="S358" s="305" t="str">
        <f t="shared" si="112"/>
        <v/>
      </c>
      <c r="T358" s="305" t="str">
        <f t="shared" si="113"/>
        <v/>
      </c>
      <c r="U358" s="305" t="str">
        <f t="shared" si="114"/>
        <v/>
      </c>
      <c r="V358" s="305" t="str">
        <f t="shared" si="115"/>
        <v/>
      </c>
      <c r="W358" s="314" t="str">
        <f t="shared" si="116"/>
        <v/>
      </c>
      <c r="X358" s="314" t="str">
        <f t="shared" si="117"/>
        <v/>
      </c>
      <c r="Y358" s="326" t="str">
        <f t="shared" si="103"/>
        <v/>
      </c>
    </row>
    <row r="359" spans="7:25" x14ac:dyDescent="0.25">
      <c r="G359" s="303">
        <f t="shared" si="100"/>
        <v>0</v>
      </c>
      <c r="H359" s="304">
        <f t="shared" si="104"/>
        <v>352</v>
      </c>
      <c r="I359" s="305" t="str">
        <f t="shared" si="106"/>
        <v/>
      </c>
      <c r="J359" s="305" t="str">
        <f t="shared" si="107"/>
        <v/>
      </c>
      <c r="K359" s="305" t="str">
        <f t="shared" si="108"/>
        <v/>
      </c>
      <c r="L359" s="305" t="str">
        <f t="shared" si="109"/>
        <v/>
      </c>
      <c r="M359" s="314" t="str">
        <f t="shared" si="110"/>
        <v/>
      </c>
      <c r="N359" s="305" t="str">
        <f t="shared" si="111"/>
        <v/>
      </c>
      <c r="O359" s="327" t="e">
        <f t="shared" si="102"/>
        <v>#NUM!</v>
      </c>
      <c r="P359" s="305"/>
      <c r="Q359" s="303">
        <f t="shared" si="101"/>
        <v>0</v>
      </c>
      <c r="R359" s="304">
        <f t="shared" si="105"/>
        <v>-252</v>
      </c>
      <c r="S359" s="305" t="str">
        <f t="shared" si="112"/>
        <v/>
      </c>
      <c r="T359" s="305" t="str">
        <f t="shared" si="113"/>
        <v/>
      </c>
      <c r="U359" s="305" t="str">
        <f t="shared" si="114"/>
        <v/>
      </c>
      <c r="V359" s="305" t="str">
        <f t="shared" si="115"/>
        <v/>
      </c>
      <c r="W359" s="314" t="str">
        <f t="shared" si="116"/>
        <v/>
      </c>
      <c r="X359" s="314" t="str">
        <f t="shared" si="117"/>
        <v/>
      </c>
      <c r="Y359" s="326" t="str">
        <f t="shared" si="103"/>
        <v/>
      </c>
    </row>
    <row r="360" spans="7:25" x14ac:dyDescent="0.25">
      <c r="G360" s="303">
        <f t="shared" si="100"/>
        <v>0</v>
      </c>
      <c r="H360" s="304">
        <f t="shared" si="104"/>
        <v>353</v>
      </c>
      <c r="I360" s="305" t="str">
        <f t="shared" si="106"/>
        <v/>
      </c>
      <c r="J360" s="305" t="str">
        <f t="shared" si="107"/>
        <v/>
      </c>
      <c r="K360" s="305" t="str">
        <f t="shared" si="108"/>
        <v/>
      </c>
      <c r="L360" s="305" t="str">
        <f t="shared" si="109"/>
        <v/>
      </c>
      <c r="M360" s="314" t="str">
        <f t="shared" si="110"/>
        <v/>
      </c>
      <c r="N360" s="305" t="str">
        <f t="shared" si="111"/>
        <v/>
      </c>
      <c r="O360" s="327" t="e">
        <f t="shared" si="102"/>
        <v>#NUM!</v>
      </c>
      <c r="P360" s="305"/>
      <c r="Q360" s="303">
        <f t="shared" si="101"/>
        <v>0</v>
      </c>
      <c r="R360" s="304">
        <f t="shared" si="105"/>
        <v>-253</v>
      </c>
      <c r="S360" s="305" t="str">
        <f t="shared" si="112"/>
        <v/>
      </c>
      <c r="T360" s="305" t="str">
        <f t="shared" si="113"/>
        <v/>
      </c>
      <c r="U360" s="305" t="str">
        <f t="shared" si="114"/>
        <v/>
      </c>
      <c r="V360" s="305" t="str">
        <f t="shared" si="115"/>
        <v/>
      </c>
      <c r="W360" s="314" t="str">
        <f t="shared" si="116"/>
        <v/>
      </c>
      <c r="X360" s="314" t="str">
        <f t="shared" si="117"/>
        <v/>
      </c>
      <c r="Y360" s="326" t="str">
        <f t="shared" si="103"/>
        <v/>
      </c>
    </row>
    <row r="361" spans="7:25" x14ac:dyDescent="0.25">
      <c r="G361" s="303">
        <f t="shared" si="100"/>
        <v>0</v>
      </c>
      <c r="H361" s="304">
        <f t="shared" si="104"/>
        <v>354</v>
      </c>
      <c r="I361" s="305" t="str">
        <f t="shared" si="106"/>
        <v/>
      </c>
      <c r="J361" s="305" t="str">
        <f t="shared" si="107"/>
        <v/>
      </c>
      <c r="K361" s="305" t="str">
        <f t="shared" si="108"/>
        <v/>
      </c>
      <c r="L361" s="305" t="str">
        <f t="shared" si="109"/>
        <v/>
      </c>
      <c r="M361" s="314" t="str">
        <f t="shared" si="110"/>
        <v/>
      </c>
      <c r="N361" s="305" t="str">
        <f t="shared" si="111"/>
        <v/>
      </c>
      <c r="O361" s="327" t="e">
        <f t="shared" si="102"/>
        <v>#NUM!</v>
      </c>
      <c r="P361" s="305"/>
      <c r="Q361" s="303">
        <f t="shared" si="101"/>
        <v>0</v>
      </c>
      <c r="R361" s="304">
        <f t="shared" si="105"/>
        <v>-254</v>
      </c>
      <c r="S361" s="305" t="str">
        <f t="shared" si="112"/>
        <v/>
      </c>
      <c r="T361" s="305" t="str">
        <f t="shared" si="113"/>
        <v/>
      </c>
      <c r="U361" s="305" t="str">
        <f t="shared" si="114"/>
        <v/>
      </c>
      <c r="V361" s="305" t="str">
        <f t="shared" si="115"/>
        <v/>
      </c>
      <c r="W361" s="314" t="str">
        <f t="shared" si="116"/>
        <v/>
      </c>
      <c r="X361" s="314" t="str">
        <f t="shared" si="117"/>
        <v/>
      </c>
      <c r="Y361" s="326" t="str">
        <f t="shared" si="103"/>
        <v/>
      </c>
    </row>
    <row r="362" spans="7:25" x14ac:dyDescent="0.25">
      <c r="G362" s="303">
        <f t="shared" si="100"/>
        <v>0</v>
      </c>
      <c r="H362" s="304">
        <f t="shared" si="104"/>
        <v>355</v>
      </c>
      <c r="I362" s="305" t="str">
        <f t="shared" si="106"/>
        <v/>
      </c>
      <c r="J362" s="305" t="str">
        <f t="shared" si="107"/>
        <v/>
      </c>
      <c r="K362" s="305" t="str">
        <f t="shared" si="108"/>
        <v/>
      </c>
      <c r="L362" s="305" t="str">
        <f t="shared" si="109"/>
        <v/>
      </c>
      <c r="M362" s="314" t="str">
        <f t="shared" si="110"/>
        <v/>
      </c>
      <c r="N362" s="305" t="str">
        <f t="shared" si="111"/>
        <v/>
      </c>
      <c r="O362" s="327" t="e">
        <f t="shared" si="102"/>
        <v>#NUM!</v>
      </c>
      <c r="P362" s="305"/>
      <c r="Q362" s="303">
        <f t="shared" si="101"/>
        <v>0</v>
      </c>
      <c r="R362" s="304">
        <f t="shared" si="105"/>
        <v>-255</v>
      </c>
      <c r="S362" s="305" t="str">
        <f t="shared" si="112"/>
        <v/>
      </c>
      <c r="T362" s="305" t="str">
        <f t="shared" si="113"/>
        <v/>
      </c>
      <c r="U362" s="305" t="str">
        <f t="shared" si="114"/>
        <v/>
      </c>
      <c r="V362" s="305" t="str">
        <f t="shared" si="115"/>
        <v/>
      </c>
      <c r="W362" s="314" t="str">
        <f t="shared" si="116"/>
        <v/>
      </c>
      <c r="X362" s="314" t="str">
        <f t="shared" si="117"/>
        <v/>
      </c>
      <c r="Y362" s="326" t="str">
        <f t="shared" si="103"/>
        <v/>
      </c>
    </row>
    <row r="363" spans="7:25" x14ac:dyDescent="0.25">
      <c r="G363" s="303">
        <f t="shared" si="100"/>
        <v>0</v>
      </c>
      <c r="H363" s="304">
        <f t="shared" si="104"/>
        <v>356</v>
      </c>
      <c r="I363" s="305" t="str">
        <f t="shared" si="106"/>
        <v/>
      </c>
      <c r="J363" s="305" t="str">
        <f t="shared" si="107"/>
        <v/>
      </c>
      <c r="K363" s="305" t="str">
        <f t="shared" si="108"/>
        <v/>
      </c>
      <c r="L363" s="305" t="str">
        <f t="shared" si="109"/>
        <v/>
      </c>
      <c r="M363" s="314" t="str">
        <f t="shared" si="110"/>
        <v/>
      </c>
      <c r="N363" s="305" t="str">
        <f t="shared" si="111"/>
        <v/>
      </c>
      <c r="O363" s="327" t="e">
        <f t="shared" si="102"/>
        <v>#NUM!</v>
      </c>
      <c r="P363" s="305"/>
      <c r="Q363" s="303">
        <f t="shared" si="101"/>
        <v>0</v>
      </c>
      <c r="R363" s="304">
        <f t="shared" si="105"/>
        <v>-256</v>
      </c>
      <c r="S363" s="305" t="str">
        <f t="shared" si="112"/>
        <v/>
      </c>
      <c r="T363" s="305" t="str">
        <f t="shared" si="113"/>
        <v/>
      </c>
      <c r="U363" s="305" t="str">
        <f t="shared" si="114"/>
        <v/>
      </c>
      <c r="V363" s="305" t="str">
        <f t="shared" si="115"/>
        <v/>
      </c>
      <c r="W363" s="314" t="str">
        <f t="shared" si="116"/>
        <v/>
      </c>
      <c r="X363" s="314" t="str">
        <f t="shared" si="117"/>
        <v/>
      </c>
      <c r="Y363" s="326" t="str">
        <f t="shared" si="103"/>
        <v/>
      </c>
    </row>
    <row r="364" spans="7:25" x14ac:dyDescent="0.25">
      <c r="G364" s="303">
        <f t="shared" si="100"/>
        <v>0</v>
      </c>
      <c r="H364" s="304">
        <f t="shared" si="104"/>
        <v>357</v>
      </c>
      <c r="I364" s="305" t="str">
        <f t="shared" si="106"/>
        <v/>
      </c>
      <c r="J364" s="305" t="str">
        <f t="shared" si="107"/>
        <v/>
      </c>
      <c r="K364" s="305" t="str">
        <f t="shared" si="108"/>
        <v/>
      </c>
      <c r="L364" s="305" t="str">
        <f t="shared" si="109"/>
        <v/>
      </c>
      <c r="M364" s="314" t="str">
        <f t="shared" si="110"/>
        <v/>
      </c>
      <c r="N364" s="305" t="str">
        <f t="shared" si="111"/>
        <v/>
      </c>
      <c r="O364" s="327" t="e">
        <f t="shared" si="102"/>
        <v>#NUM!</v>
      </c>
      <c r="P364" s="305"/>
      <c r="Q364" s="303">
        <f t="shared" si="101"/>
        <v>0</v>
      </c>
      <c r="R364" s="304">
        <f t="shared" si="105"/>
        <v>-257</v>
      </c>
      <c r="S364" s="305" t="str">
        <f t="shared" si="112"/>
        <v/>
      </c>
      <c r="T364" s="305" t="str">
        <f t="shared" si="113"/>
        <v/>
      </c>
      <c r="U364" s="305" t="str">
        <f t="shared" si="114"/>
        <v/>
      </c>
      <c r="V364" s="305" t="str">
        <f t="shared" si="115"/>
        <v/>
      </c>
      <c r="W364" s="314" t="str">
        <f t="shared" si="116"/>
        <v/>
      </c>
      <c r="X364" s="314" t="str">
        <f t="shared" si="117"/>
        <v/>
      </c>
      <c r="Y364" s="326" t="str">
        <f t="shared" si="103"/>
        <v/>
      </c>
    </row>
    <row r="365" spans="7:25" x14ac:dyDescent="0.25">
      <c r="G365" s="303">
        <f t="shared" si="100"/>
        <v>0</v>
      </c>
      <c r="H365" s="304">
        <f t="shared" si="104"/>
        <v>358</v>
      </c>
      <c r="I365" s="305" t="str">
        <f t="shared" si="106"/>
        <v/>
      </c>
      <c r="J365" s="305" t="str">
        <f t="shared" si="107"/>
        <v/>
      </c>
      <c r="K365" s="305" t="str">
        <f t="shared" si="108"/>
        <v/>
      </c>
      <c r="L365" s="305" t="str">
        <f t="shared" si="109"/>
        <v/>
      </c>
      <c r="M365" s="314" t="str">
        <f t="shared" si="110"/>
        <v/>
      </c>
      <c r="N365" s="305" t="str">
        <f t="shared" si="111"/>
        <v/>
      </c>
      <c r="O365" s="327" t="e">
        <f t="shared" si="102"/>
        <v>#NUM!</v>
      </c>
      <c r="P365" s="305"/>
      <c r="Q365" s="303">
        <f t="shared" si="101"/>
        <v>0</v>
      </c>
      <c r="R365" s="304">
        <f t="shared" si="105"/>
        <v>-258</v>
      </c>
      <c r="S365" s="305" t="str">
        <f t="shared" si="112"/>
        <v/>
      </c>
      <c r="T365" s="305" t="str">
        <f t="shared" si="113"/>
        <v/>
      </c>
      <c r="U365" s="305" t="str">
        <f t="shared" si="114"/>
        <v/>
      </c>
      <c r="V365" s="305" t="str">
        <f t="shared" si="115"/>
        <v/>
      </c>
      <c r="W365" s="314" t="str">
        <f t="shared" si="116"/>
        <v/>
      </c>
      <c r="X365" s="314" t="str">
        <f t="shared" si="117"/>
        <v/>
      </c>
      <c r="Y365" s="326" t="str">
        <f t="shared" si="103"/>
        <v/>
      </c>
    </row>
    <row r="366" spans="7:25" x14ac:dyDescent="0.25">
      <c r="G366" s="303">
        <f t="shared" si="100"/>
        <v>0</v>
      </c>
      <c r="H366" s="304">
        <f t="shared" si="104"/>
        <v>359</v>
      </c>
      <c r="I366" s="305" t="str">
        <f t="shared" si="106"/>
        <v/>
      </c>
      <c r="J366" s="305" t="str">
        <f t="shared" si="107"/>
        <v/>
      </c>
      <c r="K366" s="305" t="str">
        <f t="shared" si="108"/>
        <v/>
      </c>
      <c r="L366" s="305" t="str">
        <f t="shared" si="109"/>
        <v/>
      </c>
      <c r="M366" s="314" t="str">
        <f t="shared" si="110"/>
        <v/>
      </c>
      <c r="N366" s="305" t="str">
        <f t="shared" si="111"/>
        <v/>
      </c>
      <c r="O366" s="327" t="e">
        <f t="shared" si="102"/>
        <v>#NUM!</v>
      </c>
      <c r="P366" s="305"/>
      <c r="Q366" s="303">
        <f t="shared" si="101"/>
        <v>0</v>
      </c>
      <c r="R366" s="304">
        <f t="shared" si="105"/>
        <v>-259</v>
      </c>
      <c r="S366" s="305" t="str">
        <f t="shared" si="112"/>
        <v/>
      </c>
      <c r="T366" s="305" t="str">
        <f t="shared" si="113"/>
        <v/>
      </c>
      <c r="U366" s="305" t="str">
        <f t="shared" si="114"/>
        <v/>
      </c>
      <c r="V366" s="305" t="str">
        <f t="shared" si="115"/>
        <v/>
      </c>
      <c r="W366" s="314" t="str">
        <f t="shared" si="116"/>
        <v/>
      </c>
      <c r="X366" s="314" t="str">
        <f t="shared" si="117"/>
        <v/>
      </c>
      <c r="Y366" s="326" t="str">
        <f t="shared" si="103"/>
        <v/>
      </c>
    </row>
    <row r="367" spans="7:25" x14ac:dyDescent="0.25">
      <c r="G367" s="303">
        <f t="shared" si="100"/>
        <v>0</v>
      </c>
      <c r="H367" s="304">
        <f t="shared" si="104"/>
        <v>360</v>
      </c>
      <c r="I367" s="305" t="str">
        <f t="shared" si="106"/>
        <v/>
      </c>
      <c r="J367" s="305" t="str">
        <f t="shared" si="107"/>
        <v/>
      </c>
      <c r="K367" s="305" t="str">
        <f t="shared" si="108"/>
        <v/>
      </c>
      <c r="L367" s="305" t="str">
        <f t="shared" si="109"/>
        <v/>
      </c>
      <c r="M367" s="314" t="str">
        <f t="shared" si="110"/>
        <v/>
      </c>
      <c r="N367" s="305" t="str">
        <f t="shared" si="111"/>
        <v/>
      </c>
      <c r="O367" s="327" t="e">
        <f t="shared" si="102"/>
        <v>#NUM!</v>
      </c>
      <c r="P367" s="305"/>
      <c r="Q367" s="303">
        <f t="shared" si="101"/>
        <v>0</v>
      </c>
      <c r="R367" s="304">
        <f t="shared" si="105"/>
        <v>-260</v>
      </c>
      <c r="S367" s="305" t="str">
        <f t="shared" si="112"/>
        <v/>
      </c>
      <c r="T367" s="305" t="str">
        <f t="shared" si="113"/>
        <v/>
      </c>
      <c r="U367" s="305" t="str">
        <f t="shared" si="114"/>
        <v/>
      </c>
      <c r="V367" s="305" t="str">
        <f t="shared" si="115"/>
        <v/>
      </c>
      <c r="W367" s="314" t="str">
        <f t="shared" si="116"/>
        <v/>
      </c>
      <c r="X367" s="314" t="str">
        <f t="shared" si="117"/>
        <v/>
      </c>
      <c r="Y367" s="326" t="str">
        <f t="shared" si="103"/>
        <v/>
      </c>
    </row>
    <row r="368" spans="7:25" x14ac:dyDescent="0.25">
      <c r="G368" s="303">
        <f t="shared" si="100"/>
        <v>0</v>
      </c>
      <c r="H368" s="304">
        <f t="shared" si="104"/>
        <v>361</v>
      </c>
      <c r="I368" s="305" t="str">
        <f t="shared" si="106"/>
        <v/>
      </c>
      <c r="J368" s="305" t="str">
        <f t="shared" si="107"/>
        <v/>
      </c>
      <c r="K368" s="305" t="str">
        <f t="shared" si="108"/>
        <v/>
      </c>
      <c r="L368" s="305" t="str">
        <f t="shared" si="109"/>
        <v/>
      </c>
      <c r="M368" s="314" t="str">
        <f t="shared" si="110"/>
        <v/>
      </c>
      <c r="N368" s="305" t="str">
        <f t="shared" si="111"/>
        <v/>
      </c>
      <c r="O368" s="327" t="e">
        <f t="shared" si="102"/>
        <v>#NUM!</v>
      </c>
      <c r="P368" s="305"/>
      <c r="Q368" s="303">
        <f t="shared" si="101"/>
        <v>0</v>
      </c>
      <c r="R368" s="304">
        <f t="shared" si="105"/>
        <v>-261</v>
      </c>
      <c r="S368" s="305" t="str">
        <f t="shared" si="112"/>
        <v/>
      </c>
      <c r="T368" s="305" t="str">
        <f t="shared" si="113"/>
        <v/>
      </c>
      <c r="U368" s="305" t="str">
        <f t="shared" si="114"/>
        <v/>
      </c>
      <c r="V368" s="305" t="str">
        <f t="shared" si="115"/>
        <v/>
      </c>
      <c r="W368" s="314" t="str">
        <f t="shared" si="116"/>
        <v/>
      </c>
      <c r="X368" s="314" t="str">
        <f t="shared" si="117"/>
        <v/>
      </c>
      <c r="Y368" s="326" t="str">
        <f t="shared" si="103"/>
        <v/>
      </c>
    </row>
    <row r="369" spans="7:25" x14ac:dyDescent="0.25">
      <c r="G369" s="303">
        <f t="shared" si="100"/>
        <v>0</v>
      </c>
      <c r="H369" s="304">
        <f t="shared" si="104"/>
        <v>362</v>
      </c>
      <c r="I369" s="305" t="str">
        <f t="shared" si="106"/>
        <v/>
      </c>
      <c r="J369" s="305" t="str">
        <f t="shared" si="107"/>
        <v/>
      </c>
      <c r="K369" s="305" t="str">
        <f t="shared" si="108"/>
        <v/>
      </c>
      <c r="L369" s="305" t="str">
        <f t="shared" si="109"/>
        <v/>
      </c>
      <c r="M369" s="314" t="str">
        <f t="shared" si="110"/>
        <v/>
      </c>
      <c r="N369" s="305" t="str">
        <f t="shared" si="111"/>
        <v/>
      </c>
      <c r="O369" s="327" t="e">
        <f t="shared" si="102"/>
        <v>#NUM!</v>
      </c>
      <c r="P369" s="305"/>
      <c r="Q369" s="303">
        <f t="shared" si="101"/>
        <v>0</v>
      </c>
      <c r="R369" s="304">
        <f t="shared" si="105"/>
        <v>-262</v>
      </c>
      <c r="S369" s="305" t="str">
        <f t="shared" si="112"/>
        <v/>
      </c>
      <c r="T369" s="305" t="str">
        <f t="shared" si="113"/>
        <v/>
      </c>
      <c r="U369" s="305" t="str">
        <f t="shared" si="114"/>
        <v/>
      </c>
      <c r="V369" s="305" t="str">
        <f t="shared" si="115"/>
        <v/>
      </c>
      <c r="W369" s="314" t="str">
        <f t="shared" si="116"/>
        <v/>
      </c>
      <c r="X369" s="314" t="str">
        <f t="shared" si="117"/>
        <v/>
      </c>
      <c r="Y369" s="326" t="str">
        <f t="shared" si="103"/>
        <v/>
      </c>
    </row>
    <row r="370" spans="7:25" x14ac:dyDescent="0.25">
      <c r="G370" s="303">
        <f t="shared" si="100"/>
        <v>0</v>
      </c>
      <c r="H370" s="304">
        <f t="shared" si="104"/>
        <v>363</v>
      </c>
      <c r="I370" s="305" t="str">
        <f t="shared" si="106"/>
        <v/>
      </c>
      <c r="J370" s="305" t="str">
        <f t="shared" si="107"/>
        <v/>
      </c>
      <c r="K370" s="305" t="str">
        <f t="shared" si="108"/>
        <v/>
      </c>
      <c r="L370" s="305" t="str">
        <f t="shared" si="109"/>
        <v/>
      </c>
      <c r="M370" s="314" t="str">
        <f t="shared" si="110"/>
        <v/>
      </c>
      <c r="N370" s="305" t="str">
        <f t="shared" si="111"/>
        <v/>
      </c>
      <c r="O370" s="327" t="e">
        <f t="shared" si="102"/>
        <v>#NUM!</v>
      </c>
      <c r="P370" s="305"/>
      <c r="Q370" s="303">
        <f t="shared" si="101"/>
        <v>0</v>
      </c>
      <c r="R370" s="304">
        <f t="shared" si="105"/>
        <v>-263</v>
      </c>
      <c r="S370" s="305" t="str">
        <f t="shared" si="112"/>
        <v/>
      </c>
      <c r="T370" s="305" t="str">
        <f t="shared" si="113"/>
        <v/>
      </c>
      <c r="U370" s="305" t="str">
        <f t="shared" si="114"/>
        <v/>
      </c>
      <c r="V370" s="305" t="str">
        <f t="shared" si="115"/>
        <v/>
      </c>
      <c r="W370" s="314" t="str">
        <f t="shared" si="116"/>
        <v/>
      </c>
      <c r="X370" s="314" t="str">
        <f t="shared" si="117"/>
        <v/>
      </c>
      <c r="Y370" s="326" t="str">
        <f t="shared" si="103"/>
        <v/>
      </c>
    </row>
    <row r="371" spans="7:25" x14ac:dyDescent="0.25">
      <c r="G371" s="303">
        <f t="shared" si="100"/>
        <v>0</v>
      </c>
      <c r="H371" s="304">
        <f t="shared" si="104"/>
        <v>364</v>
      </c>
      <c r="I371" s="305" t="str">
        <f t="shared" si="106"/>
        <v/>
      </c>
      <c r="J371" s="305" t="str">
        <f t="shared" si="107"/>
        <v/>
      </c>
      <c r="K371" s="305" t="str">
        <f t="shared" si="108"/>
        <v/>
      </c>
      <c r="L371" s="305" t="str">
        <f t="shared" si="109"/>
        <v/>
      </c>
      <c r="M371" s="314" t="str">
        <f t="shared" si="110"/>
        <v/>
      </c>
      <c r="N371" s="305" t="str">
        <f t="shared" si="111"/>
        <v/>
      </c>
      <c r="O371" s="327" t="e">
        <f t="shared" si="102"/>
        <v>#NUM!</v>
      </c>
      <c r="P371" s="305"/>
      <c r="Q371" s="303">
        <f t="shared" si="101"/>
        <v>0</v>
      </c>
      <c r="R371" s="304">
        <f t="shared" si="105"/>
        <v>-264</v>
      </c>
      <c r="S371" s="305" t="str">
        <f t="shared" si="112"/>
        <v/>
      </c>
      <c r="T371" s="305" t="str">
        <f t="shared" si="113"/>
        <v/>
      </c>
      <c r="U371" s="305" t="str">
        <f t="shared" si="114"/>
        <v/>
      </c>
      <c r="V371" s="305" t="str">
        <f t="shared" si="115"/>
        <v/>
      </c>
      <c r="W371" s="314" t="str">
        <f t="shared" si="116"/>
        <v/>
      </c>
      <c r="X371" s="314" t="str">
        <f t="shared" si="117"/>
        <v/>
      </c>
      <c r="Y371" s="326" t="str">
        <f t="shared" si="103"/>
        <v/>
      </c>
    </row>
    <row r="372" spans="7:25" x14ac:dyDescent="0.25">
      <c r="G372" s="303">
        <f t="shared" si="100"/>
        <v>0</v>
      </c>
      <c r="H372" s="304">
        <f t="shared" si="104"/>
        <v>365</v>
      </c>
      <c r="I372" s="305" t="str">
        <f t="shared" si="106"/>
        <v/>
      </c>
      <c r="J372" s="305" t="str">
        <f t="shared" si="107"/>
        <v/>
      </c>
      <c r="K372" s="305" t="str">
        <f t="shared" si="108"/>
        <v/>
      </c>
      <c r="L372" s="305" t="str">
        <f t="shared" si="109"/>
        <v/>
      </c>
      <c r="M372" s="314" t="str">
        <f t="shared" si="110"/>
        <v/>
      </c>
      <c r="N372" s="305" t="str">
        <f t="shared" si="111"/>
        <v/>
      </c>
      <c r="O372" s="327" t="e">
        <f t="shared" si="102"/>
        <v>#NUM!</v>
      </c>
      <c r="P372" s="305"/>
      <c r="Q372" s="303">
        <f t="shared" si="101"/>
        <v>0</v>
      </c>
      <c r="R372" s="304">
        <f t="shared" si="105"/>
        <v>-265</v>
      </c>
      <c r="S372" s="305" t="str">
        <f t="shared" si="112"/>
        <v/>
      </c>
      <c r="T372" s="305" t="str">
        <f t="shared" si="113"/>
        <v/>
      </c>
      <c r="U372" s="305" t="str">
        <f t="shared" si="114"/>
        <v/>
      </c>
      <c r="V372" s="305" t="str">
        <f t="shared" si="115"/>
        <v/>
      </c>
      <c r="W372" s="314" t="str">
        <f t="shared" si="116"/>
        <v/>
      </c>
      <c r="X372" s="314" t="str">
        <f t="shared" si="117"/>
        <v/>
      </c>
      <c r="Y372" s="326" t="str">
        <f t="shared" si="103"/>
        <v/>
      </c>
    </row>
    <row r="373" spans="7:25" x14ac:dyDescent="0.25">
      <c r="G373" s="303">
        <f t="shared" si="100"/>
        <v>0</v>
      </c>
      <c r="H373" s="304">
        <f t="shared" si="104"/>
        <v>366</v>
      </c>
      <c r="I373" s="305" t="str">
        <f t="shared" si="106"/>
        <v/>
      </c>
      <c r="J373" s="305" t="str">
        <f t="shared" si="107"/>
        <v/>
      </c>
      <c r="K373" s="305" t="str">
        <f t="shared" si="108"/>
        <v/>
      </c>
      <c r="L373" s="305" t="str">
        <f t="shared" si="109"/>
        <v/>
      </c>
      <c r="M373" s="314" t="str">
        <f t="shared" si="110"/>
        <v/>
      </c>
      <c r="N373" s="305" t="str">
        <f t="shared" si="111"/>
        <v/>
      </c>
      <c r="O373" s="327" t="e">
        <f t="shared" si="102"/>
        <v>#NUM!</v>
      </c>
      <c r="P373" s="305"/>
      <c r="Q373" s="303">
        <f t="shared" si="101"/>
        <v>0</v>
      </c>
      <c r="R373" s="304">
        <f t="shared" si="105"/>
        <v>-266</v>
      </c>
      <c r="S373" s="305" t="str">
        <f t="shared" si="112"/>
        <v/>
      </c>
      <c r="T373" s="305" t="str">
        <f t="shared" si="113"/>
        <v/>
      </c>
      <c r="U373" s="305" t="str">
        <f t="shared" si="114"/>
        <v/>
      </c>
      <c r="V373" s="305" t="str">
        <f t="shared" si="115"/>
        <v/>
      </c>
      <c r="W373" s="314" t="str">
        <f t="shared" si="116"/>
        <v/>
      </c>
      <c r="X373" s="314" t="str">
        <f t="shared" si="117"/>
        <v/>
      </c>
      <c r="Y373" s="326" t="str">
        <f t="shared" si="103"/>
        <v/>
      </c>
    </row>
    <row r="374" spans="7:25" x14ac:dyDescent="0.25">
      <c r="G374" s="303">
        <f t="shared" si="100"/>
        <v>0</v>
      </c>
      <c r="H374" s="304">
        <f t="shared" si="104"/>
        <v>367</v>
      </c>
      <c r="I374" s="305" t="str">
        <f t="shared" si="106"/>
        <v/>
      </c>
      <c r="J374" s="305" t="str">
        <f t="shared" si="107"/>
        <v/>
      </c>
      <c r="K374" s="305" t="str">
        <f t="shared" si="108"/>
        <v/>
      </c>
      <c r="L374" s="305" t="str">
        <f t="shared" si="109"/>
        <v/>
      </c>
      <c r="M374" s="314" t="str">
        <f t="shared" si="110"/>
        <v/>
      </c>
      <c r="N374" s="305" t="str">
        <f t="shared" si="111"/>
        <v/>
      </c>
      <c r="O374" s="327" t="e">
        <f t="shared" si="102"/>
        <v>#NUM!</v>
      </c>
      <c r="P374" s="305"/>
      <c r="Q374" s="303">
        <f t="shared" si="101"/>
        <v>0</v>
      </c>
      <c r="R374" s="304">
        <f t="shared" si="105"/>
        <v>-267</v>
      </c>
      <c r="S374" s="305" t="str">
        <f t="shared" si="112"/>
        <v/>
      </c>
      <c r="T374" s="305" t="str">
        <f t="shared" si="113"/>
        <v/>
      </c>
      <c r="U374" s="305" t="str">
        <f t="shared" si="114"/>
        <v/>
      </c>
      <c r="V374" s="305" t="str">
        <f t="shared" si="115"/>
        <v/>
      </c>
      <c r="W374" s="314" t="str">
        <f t="shared" si="116"/>
        <v/>
      </c>
      <c r="X374" s="314" t="str">
        <f t="shared" si="117"/>
        <v/>
      </c>
      <c r="Y374" s="326" t="str">
        <f t="shared" si="103"/>
        <v/>
      </c>
    </row>
    <row r="375" spans="7:25" x14ac:dyDescent="0.25">
      <c r="G375" s="303">
        <f t="shared" si="100"/>
        <v>0</v>
      </c>
      <c r="H375" s="304">
        <f t="shared" si="104"/>
        <v>368</v>
      </c>
      <c r="I375" s="305" t="str">
        <f t="shared" si="106"/>
        <v/>
      </c>
      <c r="J375" s="305" t="str">
        <f t="shared" si="107"/>
        <v/>
      </c>
      <c r="K375" s="305" t="str">
        <f t="shared" si="108"/>
        <v/>
      </c>
      <c r="L375" s="305" t="str">
        <f t="shared" si="109"/>
        <v/>
      </c>
      <c r="M375" s="314" t="str">
        <f t="shared" si="110"/>
        <v/>
      </c>
      <c r="N375" s="305" t="str">
        <f t="shared" si="111"/>
        <v/>
      </c>
      <c r="O375" s="327" t="e">
        <f t="shared" si="102"/>
        <v>#NUM!</v>
      </c>
      <c r="P375" s="305"/>
      <c r="Q375" s="303">
        <f t="shared" si="101"/>
        <v>0</v>
      </c>
      <c r="R375" s="304">
        <f t="shared" si="105"/>
        <v>-268</v>
      </c>
      <c r="S375" s="305" t="str">
        <f t="shared" si="112"/>
        <v/>
      </c>
      <c r="T375" s="305" t="str">
        <f t="shared" si="113"/>
        <v/>
      </c>
      <c r="U375" s="305" t="str">
        <f t="shared" si="114"/>
        <v/>
      </c>
      <c r="V375" s="305" t="str">
        <f t="shared" si="115"/>
        <v/>
      </c>
      <c r="W375" s="314" t="str">
        <f t="shared" si="116"/>
        <v/>
      </c>
      <c r="X375" s="314" t="str">
        <f t="shared" si="117"/>
        <v/>
      </c>
      <c r="Y375" s="326" t="str">
        <f t="shared" si="103"/>
        <v/>
      </c>
    </row>
    <row r="376" spans="7:25" x14ac:dyDescent="0.25">
      <c r="G376" s="303">
        <f t="shared" si="100"/>
        <v>0</v>
      </c>
      <c r="H376" s="304">
        <f t="shared" si="104"/>
        <v>369</v>
      </c>
      <c r="I376" s="305" t="str">
        <f t="shared" si="106"/>
        <v/>
      </c>
      <c r="J376" s="305" t="str">
        <f t="shared" si="107"/>
        <v/>
      </c>
      <c r="K376" s="305" t="str">
        <f t="shared" si="108"/>
        <v/>
      </c>
      <c r="L376" s="305" t="str">
        <f t="shared" si="109"/>
        <v/>
      </c>
      <c r="M376" s="314" t="str">
        <f t="shared" si="110"/>
        <v/>
      </c>
      <c r="N376" s="305" t="str">
        <f t="shared" si="111"/>
        <v/>
      </c>
      <c r="O376" s="327" t="e">
        <f t="shared" si="102"/>
        <v>#NUM!</v>
      </c>
      <c r="P376" s="305"/>
      <c r="Q376" s="303">
        <f t="shared" si="101"/>
        <v>0</v>
      </c>
      <c r="R376" s="304">
        <f t="shared" si="105"/>
        <v>-269</v>
      </c>
      <c r="S376" s="305" t="str">
        <f t="shared" si="112"/>
        <v/>
      </c>
      <c r="T376" s="305" t="str">
        <f t="shared" si="113"/>
        <v/>
      </c>
      <c r="U376" s="305" t="str">
        <f t="shared" si="114"/>
        <v/>
      </c>
      <c r="V376" s="305" t="str">
        <f t="shared" si="115"/>
        <v/>
      </c>
      <c r="W376" s="314" t="str">
        <f t="shared" si="116"/>
        <v/>
      </c>
      <c r="X376" s="314" t="str">
        <f t="shared" si="117"/>
        <v/>
      </c>
      <c r="Y376" s="326" t="str">
        <f t="shared" si="103"/>
        <v/>
      </c>
    </row>
    <row r="377" spans="7:25" x14ac:dyDescent="0.25">
      <c r="G377" s="303">
        <f t="shared" si="100"/>
        <v>0</v>
      </c>
      <c r="H377" s="304">
        <f t="shared" si="104"/>
        <v>370</v>
      </c>
      <c r="I377" s="305" t="str">
        <f t="shared" si="106"/>
        <v/>
      </c>
      <c r="J377" s="305" t="str">
        <f t="shared" si="107"/>
        <v/>
      </c>
      <c r="K377" s="305" t="str">
        <f t="shared" si="108"/>
        <v/>
      </c>
      <c r="L377" s="305" t="str">
        <f t="shared" si="109"/>
        <v/>
      </c>
      <c r="M377" s="314" t="str">
        <f t="shared" si="110"/>
        <v/>
      </c>
      <c r="N377" s="305" t="str">
        <f t="shared" si="111"/>
        <v/>
      </c>
      <c r="O377" s="327" t="e">
        <f t="shared" si="102"/>
        <v>#NUM!</v>
      </c>
      <c r="P377" s="305"/>
      <c r="Q377" s="303">
        <f t="shared" si="101"/>
        <v>0</v>
      </c>
      <c r="R377" s="304">
        <f t="shared" si="105"/>
        <v>-270</v>
      </c>
      <c r="S377" s="305" t="str">
        <f t="shared" si="112"/>
        <v/>
      </c>
      <c r="T377" s="305" t="str">
        <f t="shared" si="113"/>
        <v/>
      </c>
      <c r="U377" s="305" t="str">
        <f t="shared" si="114"/>
        <v/>
      </c>
      <c r="V377" s="305" t="str">
        <f t="shared" si="115"/>
        <v/>
      </c>
      <c r="W377" s="314" t="str">
        <f t="shared" si="116"/>
        <v/>
      </c>
      <c r="X377" s="314" t="str">
        <f t="shared" si="117"/>
        <v/>
      </c>
      <c r="Y377" s="326" t="str">
        <f t="shared" si="103"/>
        <v/>
      </c>
    </row>
    <row r="378" spans="7:25" x14ac:dyDescent="0.25">
      <c r="G378" s="303">
        <f t="shared" si="100"/>
        <v>0</v>
      </c>
      <c r="H378" s="304">
        <f t="shared" si="104"/>
        <v>371</v>
      </c>
      <c r="I378" s="305" t="str">
        <f t="shared" si="106"/>
        <v/>
      </c>
      <c r="J378" s="305" t="str">
        <f t="shared" si="107"/>
        <v/>
      </c>
      <c r="K378" s="305" t="str">
        <f t="shared" si="108"/>
        <v/>
      </c>
      <c r="L378" s="305" t="str">
        <f t="shared" si="109"/>
        <v/>
      </c>
      <c r="M378" s="314" t="str">
        <f t="shared" si="110"/>
        <v/>
      </c>
      <c r="N378" s="305" t="str">
        <f t="shared" si="111"/>
        <v/>
      </c>
      <c r="O378" s="327" t="e">
        <f t="shared" si="102"/>
        <v>#NUM!</v>
      </c>
      <c r="P378" s="305"/>
      <c r="Q378" s="303">
        <f t="shared" si="101"/>
        <v>0</v>
      </c>
      <c r="R378" s="304">
        <f t="shared" si="105"/>
        <v>-271</v>
      </c>
      <c r="S378" s="305" t="str">
        <f t="shared" si="112"/>
        <v/>
      </c>
      <c r="T378" s="305" t="str">
        <f t="shared" si="113"/>
        <v/>
      </c>
      <c r="U378" s="305" t="str">
        <f t="shared" si="114"/>
        <v/>
      </c>
      <c r="V378" s="305" t="str">
        <f t="shared" si="115"/>
        <v/>
      </c>
      <c r="W378" s="314" t="str">
        <f t="shared" si="116"/>
        <v/>
      </c>
      <c r="X378" s="314" t="str">
        <f t="shared" si="117"/>
        <v/>
      </c>
      <c r="Y378" s="326" t="str">
        <f t="shared" si="103"/>
        <v/>
      </c>
    </row>
    <row r="379" spans="7:25" x14ac:dyDescent="0.25">
      <c r="G379" s="303">
        <f t="shared" si="100"/>
        <v>0</v>
      </c>
      <c r="H379" s="304">
        <f t="shared" si="104"/>
        <v>372</v>
      </c>
      <c r="I379" s="305" t="str">
        <f t="shared" si="106"/>
        <v/>
      </c>
      <c r="J379" s="305" t="str">
        <f t="shared" si="107"/>
        <v/>
      </c>
      <c r="K379" s="305" t="str">
        <f t="shared" si="108"/>
        <v/>
      </c>
      <c r="L379" s="305" t="str">
        <f t="shared" si="109"/>
        <v/>
      </c>
      <c r="M379" s="314" t="str">
        <f t="shared" si="110"/>
        <v/>
      </c>
      <c r="N379" s="305" t="str">
        <f t="shared" si="111"/>
        <v/>
      </c>
      <c r="O379" s="327" t="e">
        <f t="shared" si="102"/>
        <v>#NUM!</v>
      </c>
      <c r="P379" s="305"/>
      <c r="Q379" s="303">
        <f t="shared" si="101"/>
        <v>0</v>
      </c>
      <c r="R379" s="304">
        <f t="shared" si="105"/>
        <v>-272</v>
      </c>
      <c r="S379" s="305" t="str">
        <f t="shared" si="112"/>
        <v/>
      </c>
      <c r="T379" s="305" t="str">
        <f t="shared" si="113"/>
        <v/>
      </c>
      <c r="U379" s="305" t="str">
        <f t="shared" si="114"/>
        <v/>
      </c>
      <c r="V379" s="305" t="str">
        <f t="shared" si="115"/>
        <v/>
      </c>
      <c r="W379" s="314" t="str">
        <f t="shared" si="116"/>
        <v/>
      </c>
      <c r="X379" s="314" t="str">
        <f t="shared" si="117"/>
        <v/>
      </c>
      <c r="Y379" s="326" t="str">
        <f t="shared" si="103"/>
        <v/>
      </c>
    </row>
    <row r="380" spans="7:25" x14ac:dyDescent="0.25">
      <c r="G380" s="303">
        <f t="shared" si="100"/>
        <v>0</v>
      </c>
      <c r="H380" s="304">
        <f t="shared" si="104"/>
        <v>373</v>
      </c>
      <c r="I380" s="305" t="str">
        <f t="shared" si="106"/>
        <v/>
      </c>
      <c r="J380" s="305" t="str">
        <f t="shared" si="107"/>
        <v/>
      </c>
      <c r="K380" s="305" t="str">
        <f t="shared" si="108"/>
        <v/>
      </c>
      <c r="L380" s="305" t="str">
        <f t="shared" si="109"/>
        <v/>
      </c>
      <c r="M380" s="314" t="str">
        <f t="shared" si="110"/>
        <v/>
      </c>
      <c r="N380" s="305" t="str">
        <f t="shared" si="111"/>
        <v/>
      </c>
      <c r="O380" s="327" t="e">
        <f t="shared" si="102"/>
        <v>#NUM!</v>
      </c>
      <c r="P380" s="305"/>
      <c r="Q380" s="303">
        <f t="shared" si="101"/>
        <v>0</v>
      </c>
      <c r="R380" s="304">
        <f t="shared" si="105"/>
        <v>-273</v>
      </c>
      <c r="S380" s="305" t="str">
        <f t="shared" si="112"/>
        <v/>
      </c>
      <c r="T380" s="305" t="str">
        <f t="shared" si="113"/>
        <v/>
      </c>
      <c r="U380" s="305" t="str">
        <f t="shared" si="114"/>
        <v/>
      </c>
      <c r="V380" s="305" t="str">
        <f t="shared" si="115"/>
        <v/>
      </c>
      <c r="W380" s="314" t="str">
        <f t="shared" si="116"/>
        <v/>
      </c>
      <c r="X380" s="314" t="str">
        <f t="shared" si="117"/>
        <v/>
      </c>
      <c r="Y380" s="326" t="str">
        <f t="shared" si="103"/>
        <v/>
      </c>
    </row>
    <row r="381" spans="7:25" x14ac:dyDescent="0.25">
      <c r="G381" s="303">
        <f t="shared" si="100"/>
        <v>0</v>
      </c>
      <c r="H381" s="304">
        <f t="shared" si="104"/>
        <v>374</v>
      </c>
      <c r="I381" s="305" t="str">
        <f t="shared" si="106"/>
        <v/>
      </c>
      <c r="J381" s="305" t="str">
        <f t="shared" si="107"/>
        <v/>
      </c>
      <c r="K381" s="305" t="str">
        <f t="shared" si="108"/>
        <v/>
      </c>
      <c r="L381" s="305" t="str">
        <f t="shared" si="109"/>
        <v/>
      </c>
      <c r="M381" s="314" t="str">
        <f t="shared" si="110"/>
        <v/>
      </c>
      <c r="N381" s="305" t="str">
        <f t="shared" si="111"/>
        <v/>
      </c>
      <c r="O381" s="327" t="e">
        <f t="shared" si="102"/>
        <v>#NUM!</v>
      </c>
      <c r="P381" s="305"/>
      <c r="Q381" s="303">
        <f t="shared" si="101"/>
        <v>0</v>
      </c>
      <c r="R381" s="304">
        <f t="shared" si="105"/>
        <v>-274</v>
      </c>
      <c r="S381" s="305" t="str">
        <f t="shared" si="112"/>
        <v/>
      </c>
      <c r="T381" s="305" t="str">
        <f t="shared" si="113"/>
        <v/>
      </c>
      <c r="U381" s="305" t="str">
        <f t="shared" si="114"/>
        <v/>
      </c>
      <c r="V381" s="305" t="str">
        <f t="shared" si="115"/>
        <v/>
      </c>
      <c r="W381" s="314" t="str">
        <f t="shared" si="116"/>
        <v/>
      </c>
      <c r="X381" s="314" t="str">
        <f t="shared" si="117"/>
        <v/>
      </c>
      <c r="Y381" s="326" t="str">
        <f t="shared" si="103"/>
        <v/>
      </c>
    </row>
    <row r="382" spans="7:25" x14ac:dyDescent="0.25">
      <c r="G382" s="303">
        <f t="shared" si="100"/>
        <v>0</v>
      </c>
      <c r="H382" s="304">
        <f t="shared" si="104"/>
        <v>375</v>
      </c>
      <c r="I382" s="305" t="str">
        <f t="shared" si="106"/>
        <v/>
      </c>
      <c r="J382" s="305" t="str">
        <f t="shared" si="107"/>
        <v/>
      </c>
      <c r="K382" s="305" t="str">
        <f t="shared" si="108"/>
        <v/>
      </c>
      <c r="L382" s="305" t="str">
        <f t="shared" si="109"/>
        <v/>
      </c>
      <c r="M382" s="314" t="str">
        <f t="shared" si="110"/>
        <v/>
      </c>
      <c r="N382" s="305" t="str">
        <f t="shared" si="111"/>
        <v/>
      </c>
      <c r="O382" s="327" t="e">
        <f t="shared" si="102"/>
        <v>#NUM!</v>
      </c>
      <c r="P382" s="305"/>
      <c r="Q382" s="303">
        <f t="shared" si="101"/>
        <v>0</v>
      </c>
      <c r="R382" s="304">
        <f t="shared" si="105"/>
        <v>-275</v>
      </c>
      <c r="S382" s="305" t="str">
        <f t="shared" si="112"/>
        <v/>
      </c>
      <c r="T382" s="305" t="str">
        <f t="shared" si="113"/>
        <v/>
      </c>
      <c r="U382" s="305" t="str">
        <f t="shared" si="114"/>
        <v/>
      </c>
      <c r="V382" s="305" t="str">
        <f t="shared" si="115"/>
        <v/>
      </c>
      <c r="W382" s="314" t="str">
        <f t="shared" si="116"/>
        <v/>
      </c>
      <c r="X382" s="314" t="str">
        <f t="shared" si="117"/>
        <v/>
      </c>
      <c r="Y382" s="326" t="str">
        <f t="shared" si="103"/>
        <v/>
      </c>
    </row>
    <row r="383" spans="7:25" x14ac:dyDescent="0.25">
      <c r="G383" s="303">
        <f t="shared" si="100"/>
        <v>0</v>
      </c>
      <c r="H383" s="304">
        <f t="shared" si="104"/>
        <v>376</v>
      </c>
      <c r="I383" s="305" t="str">
        <f t="shared" si="106"/>
        <v/>
      </c>
      <c r="J383" s="305" t="str">
        <f t="shared" si="107"/>
        <v/>
      </c>
      <c r="K383" s="305" t="str">
        <f t="shared" si="108"/>
        <v/>
      </c>
      <c r="L383" s="305" t="str">
        <f t="shared" si="109"/>
        <v/>
      </c>
      <c r="M383" s="314" t="str">
        <f t="shared" si="110"/>
        <v/>
      </c>
      <c r="N383" s="305" t="str">
        <f t="shared" si="111"/>
        <v/>
      </c>
      <c r="O383" s="327" t="e">
        <f t="shared" si="102"/>
        <v>#NUM!</v>
      </c>
      <c r="P383" s="305"/>
      <c r="Q383" s="303">
        <f t="shared" si="101"/>
        <v>0</v>
      </c>
      <c r="R383" s="304">
        <f t="shared" si="105"/>
        <v>-276</v>
      </c>
      <c r="S383" s="305" t="str">
        <f t="shared" si="112"/>
        <v/>
      </c>
      <c r="T383" s="305" t="str">
        <f t="shared" si="113"/>
        <v/>
      </c>
      <c r="U383" s="305" t="str">
        <f t="shared" si="114"/>
        <v/>
      </c>
      <c r="V383" s="305" t="str">
        <f t="shared" si="115"/>
        <v/>
      </c>
      <c r="W383" s="314" t="str">
        <f t="shared" si="116"/>
        <v/>
      </c>
      <c r="X383" s="314" t="str">
        <f t="shared" si="117"/>
        <v/>
      </c>
      <c r="Y383" s="326" t="str">
        <f t="shared" si="103"/>
        <v/>
      </c>
    </row>
    <row r="384" spans="7:25" x14ac:dyDescent="0.25">
      <c r="G384" s="303">
        <f t="shared" si="100"/>
        <v>0</v>
      </c>
      <c r="H384" s="304">
        <f t="shared" si="104"/>
        <v>377</v>
      </c>
      <c r="I384" s="305" t="str">
        <f t="shared" si="106"/>
        <v/>
      </c>
      <c r="J384" s="305" t="str">
        <f t="shared" si="107"/>
        <v/>
      </c>
      <c r="K384" s="305" t="str">
        <f t="shared" si="108"/>
        <v/>
      </c>
      <c r="L384" s="305" t="str">
        <f t="shared" si="109"/>
        <v/>
      </c>
      <c r="M384" s="314" t="str">
        <f t="shared" si="110"/>
        <v/>
      </c>
      <c r="N384" s="305" t="str">
        <f t="shared" si="111"/>
        <v/>
      </c>
      <c r="O384" s="327" t="e">
        <f t="shared" si="102"/>
        <v>#NUM!</v>
      </c>
      <c r="P384" s="305"/>
      <c r="Q384" s="303">
        <f t="shared" si="101"/>
        <v>0</v>
      </c>
      <c r="R384" s="304">
        <f t="shared" si="105"/>
        <v>-277</v>
      </c>
      <c r="S384" s="305" t="str">
        <f t="shared" si="112"/>
        <v/>
      </c>
      <c r="T384" s="305" t="str">
        <f t="shared" si="113"/>
        <v/>
      </c>
      <c r="U384" s="305" t="str">
        <f t="shared" si="114"/>
        <v/>
      </c>
      <c r="V384" s="305" t="str">
        <f t="shared" si="115"/>
        <v/>
      </c>
      <c r="W384" s="314" t="str">
        <f t="shared" si="116"/>
        <v/>
      </c>
      <c r="X384" s="314" t="str">
        <f t="shared" si="117"/>
        <v/>
      </c>
      <c r="Y384" s="326" t="str">
        <f t="shared" si="103"/>
        <v/>
      </c>
    </row>
    <row r="385" spans="7:25" x14ac:dyDescent="0.25">
      <c r="G385" s="303">
        <f t="shared" si="100"/>
        <v>0</v>
      </c>
      <c r="H385" s="304">
        <f t="shared" si="104"/>
        <v>378</v>
      </c>
      <c r="I385" s="305" t="str">
        <f t="shared" si="106"/>
        <v/>
      </c>
      <c r="J385" s="305" t="str">
        <f t="shared" si="107"/>
        <v/>
      </c>
      <c r="K385" s="305" t="str">
        <f t="shared" si="108"/>
        <v/>
      </c>
      <c r="L385" s="305" t="str">
        <f t="shared" si="109"/>
        <v/>
      </c>
      <c r="M385" s="314" t="str">
        <f t="shared" si="110"/>
        <v/>
      </c>
      <c r="N385" s="305" t="str">
        <f t="shared" si="111"/>
        <v/>
      </c>
      <c r="O385" s="327" t="e">
        <f t="shared" si="102"/>
        <v>#NUM!</v>
      </c>
      <c r="P385" s="305"/>
      <c r="Q385" s="303">
        <f t="shared" si="101"/>
        <v>0</v>
      </c>
      <c r="R385" s="304">
        <f t="shared" si="105"/>
        <v>-278</v>
      </c>
      <c r="S385" s="305" t="str">
        <f t="shared" si="112"/>
        <v/>
      </c>
      <c r="T385" s="305" t="str">
        <f t="shared" si="113"/>
        <v/>
      </c>
      <c r="U385" s="305" t="str">
        <f t="shared" si="114"/>
        <v/>
      </c>
      <c r="V385" s="305" t="str">
        <f t="shared" si="115"/>
        <v/>
      </c>
      <c r="W385" s="314" t="str">
        <f t="shared" si="116"/>
        <v/>
      </c>
      <c r="X385" s="314" t="str">
        <f t="shared" si="117"/>
        <v/>
      </c>
      <c r="Y385" s="326" t="str">
        <f t="shared" si="103"/>
        <v/>
      </c>
    </row>
    <row r="386" spans="7:25" x14ac:dyDescent="0.25">
      <c r="G386" s="303">
        <f t="shared" si="100"/>
        <v>0</v>
      </c>
      <c r="H386" s="304">
        <f t="shared" si="104"/>
        <v>379</v>
      </c>
      <c r="I386" s="305" t="str">
        <f t="shared" si="106"/>
        <v/>
      </c>
      <c r="J386" s="305" t="str">
        <f t="shared" si="107"/>
        <v/>
      </c>
      <c r="K386" s="305" t="str">
        <f t="shared" si="108"/>
        <v/>
      </c>
      <c r="L386" s="305" t="str">
        <f t="shared" si="109"/>
        <v/>
      </c>
      <c r="M386" s="314" t="str">
        <f t="shared" si="110"/>
        <v/>
      </c>
      <c r="N386" s="305" t="str">
        <f t="shared" si="111"/>
        <v/>
      </c>
      <c r="O386" s="327" t="e">
        <f t="shared" si="102"/>
        <v>#NUM!</v>
      </c>
      <c r="P386" s="305"/>
      <c r="Q386" s="303">
        <f t="shared" si="101"/>
        <v>0</v>
      </c>
      <c r="R386" s="304">
        <f t="shared" si="105"/>
        <v>-279</v>
      </c>
      <c r="S386" s="305" t="str">
        <f t="shared" si="112"/>
        <v/>
      </c>
      <c r="T386" s="305" t="str">
        <f t="shared" si="113"/>
        <v/>
      </c>
      <c r="U386" s="305" t="str">
        <f t="shared" si="114"/>
        <v/>
      </c>
      <c r="V386" s="305" t="str">
        <f t="shared" si="115"/>
        <v/>
      </c>
      <c r="W386" s="314" t="str">
        <f t="shared" si="116"/>
        <v/>
      </c>
      <c r="X386" s="314" t="str">
        <f t="shared" si="117"/>
        <v/>
      </c>
      <c r="Y386" s="326" t="str">
        <f t="shared" si="103"/>
        <v/>
      </c>
    </row>
    <row r="387" spans="7:25" x14ac:dyDescent="0.25">
      <c r="G387" s="303">
        <f t="shared" si="100"/>
        <v>0</v>
      </c>
      <c r="H387" s="304">
        <f t="shared" si="104"/>
        <v>380</v>
      </c>
      <c r="I387" s="305" t="str">
        <f t="shared" si="106"/>
        <v/>
      </c>
      <c r="J387" s="305" t="str">
        <f t="shared" si="107"/>
        <v/>
      </c>
      <c r="K387" s="305" t="str">
        <f t="shared" si="108"/>
        <v/>
      </c>
      <c r="L387" s="305" t="str">
        <f t="shared" si="109"/>
        <v/>
      </c>
      <c r="M387" s="314" t="str">
        <f t="shared" si="110"/>
        <v/>
      </c>
      <c r="N387" s="305" t="str">
        <f t="shared" si="111"/>
        <v/>
      </c>
      <c r="O387" s="327" t="e">
        <f t="shared" si="102"/>
        <v>#NUM!</v>
      </c>
      <c r="P387" s="305"/>
      <c r="Q387" s="303">
        <f t="shared" si="101"/>
        <v>0</v>
      </c>
      <c r="R387" s="304">
        <f t="shared" si="105"/>
        <v>-280</v>
      </c>
      <c r="S387" s="305" t="str">
        <f t="shared" si="112"/>
        <v/>
      </c>
      <c r="T387" s="305" t="str">
        <f t="shared" si="113"/>
        <v/>
      </c>
      <c r="U387" s="305" t="str">
        <f t="shared" si="114"/>
        <v/>
      </c>
      <c r="V387" s="305" t="str">
        <f t="shared" si="115"/>
        <v/>
      </c>
      <c r="W387" s="314" t="str">
        <f t="shared" si="116"/>
        <v/>
      </c>
      <c r="X387" s="314" t="str">
        <f t="shared" si="117"/>
        <v/>
      </c>
      <c r="Y387" s="326" t="str">
        <f t="shared" si="103"/>
        <v/>
      </c>
    </row>
    <row r="388" spans="7:25" x14ac:dyDescent="0.25">
      <c r="G388" s="303">
        <f t="shared" si="100"/>
        <v>0</v>
      </c>
      <c r="H388" s="304">
        <f t="shared" si="104"/>
        <v>381</v>
      </c>
      <c r="I388" s="305" t="str">
        <f t="shared" si="106"/>
        <v/>
      </c>
      <c r="J388" s="305" t="str">
        <f t="shared" si="107"/>
        <v/>
      </c>
      <c r="K388" s="305" t="str">
        <f t="shared" si="108"/>
        <v/>
      </c>
      <c r="L388" s="305" t="str">
        <f t="shared" si="109"/>
        <v/>
      </c>
      <c r="M388" s="314" t="str">
        <f t="shared" si="110"/>
        <v/>
      </c>
      <c r="N388" s="305" t="str">
        <f t="shared" si="111"/>
        <v/>
      </c>
      <c r="O388" s="327" t="e">
        <f t="shared" si="102"/>
        <v>#NUM!</v>
      </c>
      <c r="P388" s="305"/>
      <c r="Q388" s="303">
        <f t="shared" si="101"/>
        <v>0</v>
      </c>
      <c r="R388" s="304">
        <f t="shared" si="105"/>
        <v>-281</v>
      </c>
      <c r="S388" s="305" t="str">
        <f t="shared" si="112"/>
        <v/>
      </c>
      <c r="T388" s="305" t="str">
        <f t="shared" si="113"/>
        <v/>
      </c>
      <c r="U388" s="305" t="str">
        <f t="shared" si="114"/>
        <v/>
      </c>
      <c r="V388" s="305" t="str">
        <f t="shared" si="115"/>
        <v/>
      </c>
      <c r="W388" s="314" t="str">
        <f t="shared" si="116"/>
        <v/>
      </c>
      <c r="X388" s="314" t="str">
        <f t="shared" si="117"/>
        <v/>
      </c>
      <c r="Y388" s="326" t="str">
        <f t="shared" si="103"/>
        <v/>
      </c>
    </row>
    <row r="389" spans="7:25" x14ac:dyDescent="0.25">
      <c r="G389" s="303">
        <f t="shared" si="100"/>
        <v>0</v>
      </c>
      <c r="H389" s="304">
        <f t="shared" si="104"/>
        <v>382</v>
      </c>
      <c r="I389" s="305" t="str">
        <f t="shared" si="106"/>
        <v/>
      </c>
      <c r="J389" s="305" t="str">
        <f t="shared" si="107"/>
        <v/>
      </c>
      <c r="K389" s="305" t="str">
        <f t="shared" si="108"/>
        <v/>
      </c>
      <c r="L389" s="305" t="str">
        <f t="shared" si="109"/>
        <v/>
      </c>
      <c r="M389" s="314" t="str">
        <f t="shared" si="110"/>
        <v/>
      </c>
      <c r="N389" s="305" t="str">
        <f t="shared" si="111"/>
        <v/>
      </c>
      <c r="O389" s="327" t="e">
        <f t="shared" si="102"/>
        <v>#NUM!</v>
      </c>
      <c r="P389" s="305"/>
      <c r="Q389" s="303">
        <f t="shared" si="101"/>
        <v>0</v>
      </c>
      <c r="R389" s="304">
        <f t="shared" si="105"/>
        <v>-282</v>
      </c>
      <c r="S389" s="305" t="str">
        <f t="shared" si="112"/>
        <v/>
      </c>
      <c r="T389" s="305" t="str">
        <f t="shared" si="113"/>
        <v/>
      </c>
      <c r="U389" s="305" t="str">
        <f t="shared" si="114"/>
        <v/>
      </c>
      <c r="V389" s="305" t="str">
        <f t="shared" si="115"/>
        <v/>
      </c>
      <c r="W389" s="314" t="str">
        <f t="shared" si="116"/>
        <v/>
      </c>
      <c r="X389" s="314" t="str">
        <f t="shared" si="117"/>
        <v/>
      </c>
      <c r="Y389" s="326" t="str">
        <f t="shared" si="103"/>
        <v/>
      </c>
    </row>
    <row r="390" spans="7:25" x14ac:dyDescent="0.25">
      <c r="G390" s="303">
        <f t="shared" si="100"/>
        <v>0</v>
      </c>
      <c r="H390" s="304">
        <f t="shared" si="104"/>
        <v>383</v>
      </c>
      <c r="I390" s="305" t="str">
        <f t="shared" si="106"/>
        <v/>
      </c>
      <c r="J390" s="305" t="str">
        <f t="shared" si="107"/>
        <v/>
      </c>
      <c r="K390" s="305" t="str">
        <f t="shared" si="108"/>
        <v/>
      </c>
      <c r="L390" s="305" t="str">
        <f t="shared" si="109"/>
        <v/>
      </c>
      <c r="M390" s="314" t="str">
        <f t="shared" si="110"/>
        <v/>
      </c>
      <c r="N390" s="305" t="str">
        <f t="shared" si="111"/>
        <v/>
      </c>
      <c r="O390" s="327" t="e">
        <f t="shared" si="102"/>
        <v>#NUM!</v>
      </c>
      <c r="P390" s="305"/>
      <c r="Q390" s="303">
        <f t="shared" si="101"/>
        <v>0</v>
      </c>
      <c r="R390" s="304">
        <f t="shared" si="105"/>
        <v>-283</v>
      </c>
      <c r="S390" s="305" t="str">
        <f t="shared" si="112"/>
        <v/>
      </c>
      <c r="T390" s="305" t="str">
        <f t="shared" si="113"/>
        <v/>
      </c>
      <c r="U390" s="305" t="str">
        <f t="shared" si="114"/>
        <v/>
      </c>
      <c r="V390" s="305" t="str">
        <f t="shared" si="115"/>
        <v/>
      </c>
      <c r="W390" s="314" t="str">
        <f t="shared" si="116"/>
        <v/>
      </c>
      <c r="X390" s="314" t="str">
        <f t="shared" si="117"/>
        <v/>
      </c>
      <c r="Y390" s="326" t="str">
        <f t="shared" si="103"/>
        <v/>
      </c>
    </row>
    <row r="391" spans="7:25" x14ac:dyDescent="0.25">
      <c r="G391" s="303">
        <f t="shared" ref="G391:G454" si="118">IF(H391&lt;=$C$16,1,0)</f>
        <v>0</v>
      </c>
      <c r="H391" s="304">
        <f t="shared" si="104"/>
        <v>384</v>
      </c>
      <c r="I391" s="305" t="str">
        <f t="shared" si="106"/>
        <v/>
      </c>
      <c r="J391" s="305" t="str">
        <f t="shared" si="107"/>
        <v/>
      </c>
      <c r="K391" s="305" t="str">
        <f t="shared" si="108"/>
        <v/>
      </c>
      <c r="L391" s="305" t="str">
        <f t="shared" si="109"/>
        <v/>
      </c>
      <c r="M391" s="314" t="str">
        <f t="shared" si="110"/>
        <v/>
      </c>
      <c r="N391" s="305" t="str">
        <f t="shared" si="111"/>
        <v/>
      </c>
      <c r="O391" s="327" t="e">
        <f t="shared" si="102"/>
        <v>#NUM!</v>
      </c>
      <c r="P391" s="305"/>
      <c r="Q391" s="303">
        <f t="shared" ref="Q391:Q454" si="119">IF(R391&gt;=$C$16,1,0)</f>
        <v>0</v>
      </c>
      <c r="R391" s="304">
        <f t="shared" si="105"/>
        <v>-284</v>
      </c>
      <c r="S391" s="305" t="str">
        <f t="shared" si="112"/>
        <v/>
      </c>
      <c r="T391" s="305" t="str">
        <f t="shared" si="113"/>
        <v/>
      </c>
      <c r="U391" s="305" t="str">
        <f t="shared" si="114"/>
        <v/>
      </c>
      <c r="V391" s="305" t="str">
        <f t="shared" si="115"/>
        <v/>
      </c>
      <c r="W391" s="314" t="str">
        <f t="shared" si="116"/>
        <v/>
      </c>
      <c r="X391" s="314" t="str">
        <f t="shared" si="117"/>
        <v/>
      </c>
      <c r="Y391" s="326" t="str">
        <f t="shared" si="103"/>
        <v/>
      </c>
    </row>
    <row r="392" spans="7:25" x14ac:dyDescent="0.25">
      <c r="G392" s="303">
        <f t="shared" si="118"/>
        <v>0</v>
      </c>
      <c r="H392" s="304">
        <f t="shared" si="104"/>
        <v>385</v>
      </c>
      <c r="I392" s="305" t="str">
        <f t="shared" si="106"/>
        <v/>
      </c>
      <c r="J392" s="305" t="str">
        <f t="shared" si="107"/>
        <v/>
      </c>
      <c r="K392" s="305" t="str">
        <f t="shared" si="108"/>
        <v/>
      </c>
      <c r="L392" s="305" t="str">
        <f t="shared" si="109"/>
        <v/>
      </c>
      <c r="M392" s="314" t="str">
        <f t="shared" si="110"/>
        <v/>
      </c>
      <c r="N392" s="305" t="str">
        <f t="shared" si="111"/>
        <v/>
      </c>
      <c r="O392" s="327" t="e">
        <f t="shared" ref="O392:O455" si="120">IF($C$15=1,IF(AND(O391&lt;=$C$17,M392&lt;=$C$17),M392,""),"")</f>
        <v>#NUM!</v>
      </c>
      <c r="P392" s="305"/>
      <c r="Q392" s="303">
        <f t="shared" si="119"/>
        <v>0</v>
      </c>
      <c r="R392" s="304">
        <f t="shared" si="105"/>
        <v>-285</v>
      </c>
      <c r="S392" s="305" t="str">
        <f t="shared" si="112"/>
        <v/>
      </c>
      <c r="T392" s="305" t="str">
        <f t="shared" si="113"/>
        <v/>
      </c>
      <c r="U392" s="305" t="str">
        <f t="shared" si="114"/>
        <v/>
      </c>
      <c r="V392" s="305" t="str">
        <f t="shared" si="115"/>
        <v/>
      </c>
      <c r="W392" s="314" t="str">
        <f t="shared" si="116"/>
        <v/>
      </c>
      <c r="X392" s="314" t="str">
        <f t="shared" si="117"/>
        <v/>
      </c>
      <c r="Y392" s="326" t="str">
        <f t="shared" ref="Y392:Y455" si="121">IF($C$15=-1,IF(AND(Y391&lt;=$C$17,W392&lt;=$C$17),M392,""),"")</f>
        <v/>
      </c>
    </row>
    <row r="393" spans="7:25" x14ac:dyDescent="0.25">
      <c r="G393" s="303">
        <f t="shared" si="118"/>
        <v>0</v>
      </c>
      <c r="H393" s="304">
        <f t="shared" ref="H393:H456" si="122">H392+1</f>
        <v>386</v>
      </c>
      <c r="I393" s="305" t="str">
        <f t="shared" si="106"/>
        <v/>
      </c>
      <c r="J393" s="305" t="str">
        <f t="shared" si="107"/>
        <v/>
      </c>
      <c r="K393" s="305" t="str">
        <f t="shared" si="108"/>
        <v/>
      </c>
      <c r="L393" s="305" t="str">
        <f t="shared" si="109"/>
        <v/>
      </c>
      <c r="M393" s="314" t="str">
        <f t="shared" si="110"/>
        <v/>
      </c>
      <c r="N393" s="305" t="str">
        <f t="shared" si="111"/>
        <v/>
      </c>
      <c r="O393" s="327" t="e">
        <f t="shared" si="120"/>
        <v>#NUM!</v>
      </c>
      <c r="P393" s="305"/>
      <c r="Q393" s="303">
        <f t="shared" si="119"/>
        <v>0</v>
      </c>
      <c r="R393" s="304">
        <f t="shared" ref="R393:R456" si="123">R392-1</f>
        <v>-286</v>
      </c>
      <c r="S393" s="305" t="str">
        <f t="shared" si="112"/>
        <v/>
      </c>
      <c r="T393" s="305" t="str">
        <f t="shared" si="113"/>
        <v/>
      </c>
      <c r="U393" s="305" t="str">
        <f t="shared" si="114"/>
        <v/>
      </c>
      <c r="V393" s="305" t="str">
        <f t="shared" si="115"/>
        <v/>
      </c>
      <c r="W393" s="314" t="str">
        <f t="shared" si="116"/>
        <v/>
      </c>
      <c r="X393" s="314" t="str">
        <f t="shared" si="117"/>
        <v/>
      </c>
      <c r="Y393" s="326" t="str">
        <f t="shared" si="121"/>
        <v/>
      </c>
    </row>
    <row r="394" spans="7:25" x14ac:dyDescent="0.25">
      <c r="G394" s="303">
        <f t="shared" si="118"/>
        <v>0</v>
      </c>
      <c r="H394" s="304">
        <f t="shared" si="122"/>
        <v>387</v>
      </c>
      <c r="I394" s="305" t="str">
        <f t="shared" si="106"/>
        <v/>
      </c>
      <c r="J394" s="305" t="str">
        <f t="shared" si="107"/>
        <v/>
      </c>
      <c r="K394" s="305" t="str">
        <f t="shared" si="108"/>
        <v/>
      </c>
      <c r="L394" s="305" t="str">
        <f t="shared" si="109"/>
        <v/>
      </c>
      <c r="M394" s="314" t="str">
        <f t="shared" si="110"/>
        <v/>
      </c>
      <c r="N394" s="305" t="str">
        <f t="shared" si="111"/>
        <v/>
      </c>
      <c r="O394" s="327" t="e">
        <f t="shared" si="120"/>
        <v>#NUM!</v>
      </c>
      <c r="P394" s="305"/>
      <c r="Q394" s="303">
        <f t="shared" si="119"/>
        <v>0</v>
      </c>
      <c r="R394" s="304">
        <f t="shared" si="123"/>
        <v>-287</v>
      </c>
      <c r="S394" s="305" t="str">
        <f t="shared" si="112"/>
        <v/>
      </c>
      <c r="T394" s="305" t="str">
        <f t="shared" si="113"/>
        <v/>
      </c>
      <c r="U394" s="305" t="str">
        <f t="shared" si="114"/>
        <v/>
      </c>
      <c r="V394" s="305" t="str">
        <f t="shared" si="115"/>
        <v/>
      </c>
      <c r="W394" s="314" t="str">
        <f t="shared" si="116"/>
        <v/>
      </c>
      <c r="X394" s="314" t="str">
        <f t="shared" si="117"/>
        <v/>
      </c>
      <c r="Y394" s="326" t="str">
        <f t="shared" si="121"/>
        <v/>
      </c>
    </row>
    <row r="395" spans="7:25" x14ac:dyDescent="0.25">
      <c r="G395" s="303">
        <f t="shared" si="118"/>
        <v>0</v>
      </c>
      <c r="H395" s="304">
        <f t="shared" si="122"/>
        <v>388</v>
      </c>
      <c r="I395" s="305" t="str">
        <f t="shared" si="106"/>
        <v/>
      </c>
      <c r="J395" s="305" t="str">
        <f t="shared" si="107"/>
        <v/>
      </c>
      <c r="K395" s="305" t="str">
        <f t="shared" si="108"/>
        <v/>
      </c>
      <c r="L395" s="305" t="str">
        <f t="shared" si="109"/>
        <v/>
      </c>
      <c r="M395" s="314" t="str">
        <f t="shared" si="110"/>
        <v/>
      </c>
      <c r="N395" s="305" t="str">
        <f t="shared" si="111"/>
        <v/>
      </c>
      <c r="O395" s="327" t="e">
        <f t="shared" si="120"/>
        <v>#NUM!</v>
      </c>
      <c r="P395" s="305"/>
      <c r="Q395" s="303">
        <f t="shared" si="119"/>
        <v>0</v>
      </c>
      <c r="R395" s="304">
        <f t="shared" si="123"/>
        <v>-288</v>
      </c>
      <c r="S395" s="305" t="str">
        <f t="shared" si="112"/>
        <v/>
      </c>
      <c r="T395" s="305" t="str">
        <f t="shared" si="113"/>
        <v/>
      </c>
      <c r="U395" s="305" t="str">
        <f t="shared" si="114"/>
        <v/>
      </c>
      <c r="V395" s="305" t="str">
        <f t="shared" si="115"/>
        <v/>
      </c>
      <c r="W395" s="314" t="str">
        <f t="shared" si="116"/>
        <v/>
      </c>
      <c r="X395" s="314" t="str">
        <f t="shared" si="117"/>
        <v/>
      </c>
      <c r="Y395" s="326" t="str">
        <f t="shared" si="121"/>
        <v/>
      </c>
    </row>
    <row r="396" spans="7:25" x14ac:dyDescent="0.25">
      <c r="G396" s="303">
        <f t="shared" si="118"/>
        <v>0</v>
      </c>
      <c r="H396" s="304">
        <f t="shared" si="122"/>
        <v>389</v>
      </c>
      <c r="I396" s="305" t="str">
        <f t="shared" si="106"/>
        <v/>
      </c>
      <c r="J396" s="305" t="str">
        <f t="shared" si="107"/>
        <v/>
      </c>
      <c r="K396" s="305" t="str">
        <f t="shared" si="108"/>
        <v/>
      </c>
      <c r="L396" s="305" t="str">
        <f t="shared" si="109"/>
        <v/>
      </c>
      <c r="M396" s="314" t="str">
        <f t="shared" si="110"/>
        <v/>
      </c>
      <c r="N396" s="305" t="str">
        <f t="shared" si="111"/>
        <v/>
      </c>
      <c r="O396" s="327" t="e">
        <f t="shared" si="120"/>
        <v>#NUM!</v>
      </c>
      <c r="P396" s="305"/>
      <c r="Q396" s="303">
        <f t="shared" si="119"/>
        <v>0</v>
      </c>
      <c r="R396" s="304">
        <f t="shared" si="123"/>
        <v>-289</v>
      </c>
      <c r="S396" s="305" t="str">
        <f t="shared" si="112"/>
        <v/>
      </c>
      <c r="T396" s="305" t="str">
        <f t="shared" si="113"/>
        <v/>
      </c>
      <c r="U396" s="305" t="str">
        <f t="shared" si="114"/>
        <v/>
      </c>
      <c r="V396" s="305" t="str">
        <f t="shared" si="115"/>
        <v/>
      </c>
      <c r="W396" s="314" t="str">
        <f t="shared" si="116"/>
        <v/>
      </c>
      <c r="X396" s="314" t="str">
        <f t="shared" si="117"/>
        <v/>
      </c>
      <c r="Y396" s="326" t="str">
        <f t="shared" si="121"/>
        <v/>
      </c>
    </row>
    <row r="397" spans="7:25" x14ac:dyDescent="0.25">
      <c r="G397" s="303">
        <f t="shared" si="118"/>
        <v>0</v>
      </c>
      <c r="H397" s="304">
        <f t="shared" si="122"/>
        <v>390</v>
      </c>
      <c r="I397" s="305" t="str">
        <f t="shared" ref="I397:I460" si="124">IF(G397,H397,"")</f>
        <v/>
      </c>
      <c r="J397" s="305" t="str">
        <f t="shared" ref="J397:J460" si="125">IF(G397,$D$5-H397,"")</f>
        <v/>
      </c>
      <c r="K397" s="305" t="str">
        <f t="shared" ref="K397:K460" si="126">IF(G397,$B$7-H397,"")</f>
        <v/>
      </c>
      <c r="L397" s="305" t="str">
        <f t="shared" ref="L397:L460" si="127">IF(G397,$D$7-SUM(I397:K397),"")</f>
        <v/>
      </c>
      <c r="M397" s="314" t="str">
        <f t="shared" ref="M397:M460" si="128">IF(G397,M396*(K396*J396)/(L397*I397),"")</f>
        <v/>
      </c>
      <c r="N397" s="305" t="str">
        <f t="shared" ref="N397:N460" si="129">IF(AND(G397=1,I397&lt;=$B$5),M397,"")</f>
        <v/>
      </c>
      <c r="O397" s="327" t="e">
        <f t="shared" si="120"/>
        <v>#NUM!</v>
      </c>
      <c r="P397" s="305"/>
      <c r="Q397" s="303">
        <f t="shared" si="119"/>
        <v>0</v>
      </c>
      <c r="R397" s="304">
        <f t="shared" si="123"/>
        <v>-290</v>
      </c>
      <c r="S397" s="305" t="str">
        <f t="shared" ref="S397:S460" si="130">IF(Q397,R397,"")</f>
        <v/>
      </c>
      <c r="T397" s="305" t="str">
        <f t="shared" ref="T397:T460" si="131">IF(Q397,$D$5-R397,"")</f>
        <v/>
      </c>
      <c r="U397" s="305" t="str">
        <f t="shared" ref="U397:U460" si="132">IF(Q397,$B$7-R397,"")</f>
        <v/>
      </c>
      <c r="V397" s="305" t="str">
        <f t="shared" ref="V397:V460" si="133">IF(Q397,$D$7-SUM(S397:U397),"")</f>
        <v/>
      </c>
      <c r="W397" s="314" t="str">
        <f t="shared" ref="W397:W460" si="134">IF(Q397,W396*(S396*V396)/(U397*T397),"")</f>
        <v/>
      </c>
      <c r="X397" s="314" t="str">
        <f t="shared" ref="X397:X460" si="135">IF(AND(Q397=1,S397&gt;=$B$5),W397,"")</f>
        <v/>
      </c>
      <c r="Y397" s="326" t="str">
        <f t="shared" si="121"/>
        <v/>
      </c>
    </row>
    <row r="398" spans="7:25" x14ac:dyDescent="0.25">
      <c r="G398" s="303">
        <f t="shared" si="118"/>
        <v>0</v>
      </c>
      <c r="H398" s="304">
        <f t="shared" si="122"/>
        <v>391</v>
      </c>
      <c r="I398" s="305" t="str">
        <f t="shared" si="124"/>
        <v/>
      </c>
      <c r="J398" s="305" t="str">
        <f t="shared" si="125"/>
        <v/>
      </c>
      <c r="K398" s="305" t="str">
        <f t="shared" si="126"/>
        <v/>
      </c>
      <c r="L398" s="305" t="str">
        <f t="shared" si="127"/>
        <v/>
      </c>
      <c r="M398" s="314" t="str">
        <f t="shared" si="128"/>
        <v/>
      </c>
      <c r="N398" s="305" t="str">
        <f t="shared" si="129"/>
        <v/>
      </c>
      <c r="O398" s="327" t="e">
        <f t="shared" si="120"/>
        <v>#NUM!</v>
      </c>
      <c r="P398" s="305"/>
      <c r="Q398" s="303">
        <f t="shared" si="119"/>
        <v>0</v>
      </c>
      <c r="R398" s="304">
        <f t="shared" si="123"/>
        <v>-291</v>
      </c>
      <c r="S398" s="305" t="str">
        <f t="shared" si="130"/>
        <v/>
      </c>
      <c r="T398" s="305" t="str">
        <f t="shared" si="131"/>
        <v/>
      </c>
      <c r="U398" s="305" t="str">
        <f t="shared" si="132"/>
        <v/>
      </c>
      <c r="V398" s="305" t="str">
        <f t="shared" si="133"/>
        <v/>
      </c>
      <c r="W398" s="314" t="str">
        <f t="shared" si="134"/>
        <v/>
      </c>
      <c r="X398" s="314" t="str">
        <f t="shared" si="135"/>
        <v/>
      </c>
      <c r="Y398" s="326" t="str">
        <f t="shared" si="121"/>
        <v/>
      </c>
    </row>
    <row r="399" spans="7:25" x14ac:dyDescent="0.25">
      <c r="G399" s="303">
        <f t="shared" si="118"/>
        <v>0</v>
      </c>
      <c r="H399" s="304">
        <f t="shared" si="122"/>
        <v>392</v>
      </c>
      <c r="I399" s="305" t="str">
        <f t="shared" si="124"/>
        <v/>
      </c>
      <c r="J399" s="305" t="str">
        <f t="shared" si="125"/>
        <v/>
      </c>
      <c r="K399" s="305" t="str">
        <f t="shared" si="126"/>
        <v/>
      </c>
      <c r="L399" s="305" t="str">
        <f t="shared" si="127"/>
        <v/>
      </c>
      <c r="M399" s="314" t="str">
        <f t="shared" si="128"/>
        <v/>
      </c>
      <c r="N399" s="305" t="str">
        <f t="shared" si="129"/>
        <v/>
      </c>
      <c r="O399" s="327" t="e">
        <f t="shared" si="120"/>
        <v>#NUM!</v>
      </c>
      <c r="P399" s="305"/>
      <c r="Q399" s="303">
        <f t="shared" si="119"/>
        <v>0</v>
      </c>
      <c r="R399" s="304">
        <f t="shared" si="123"/>
        <v>-292</v>
      </c>
      <c r="S399" s="305" t="str">
        <f t="shared" si="130"/>
        <v/>
      </c>
      <c r="T399" s="305" t="str">
        <f t="shared" si="131"/>
        <v/>
      </c>
      <c r="U399" s="305" t="str">
        <f t="shared" si="132"/>
        <v/>
      </c>
      <c r="V399" s="305" t="str">
        <f t="shared" si="133"/>
        <v/>
      </c>
      <c r="W399" s="314" t="str">
        <f t="shared" si="134"/>
        <v/>
      </c>
      <c r="X399" s="314" t="str">
        <f t="shared" si="135"/>
        <v/>
      </c>
      <c r="Y399" s="326" t="str">
        <f t="shared" si="121"/>
        <v/>
      </c>
    </row>
    <row r="400" spans="7:25" x14ac:dyDescent="0.25">
      <c r="G400" s="303">
        <f t="shared" si="118"/>
        <v>0</v>
      </c>
      <c r="H400" s="304">
        <f t="shared" si="122"/>
        <v>393</v>
      </c>
      <c r="I400" s="305" t="str">
        <f t="shared" si="124"/>
        <v/>
      </c>
      <c r="J400" s="305" t="str">
        <f t="shared" si="125"/>
        <v/>
      </c>
      <c r="K400" s="305" t="str">
        <f t="shared" si="126"/>
        <v/>
      </c>
      <c r="L400" s="305" t="str">
        <f t="shared" si="127"/>
        <v/>
      </c>
      <c r="M400" s="314" t="str">
        <f t="shared" si="128"/>
        <v/>
      </c>
      <c r="N400" s="305" t="str">
        <f t="shared" si="129"/>
        <v/>
      </c>
      <c r="O400" s="327" t="e">
        <f t="shared" si="120"/>
        <v>#NUM!</v>
      </c>
      <c r="P400" s="305"/>
      <c r="Q400" s="303">
        <f t="shared" si="119"/>
        <v>0</v>
      </c>
      <c r="R400" s="304">
        <f t="shared" si="123"/>
        <v>-293</v>
      </c>
      <c r="S400" s="305" t="str">
        <f t="shared" si="130"/>
        <v/>
      </c>
      <c r="T400" s="305" t="str">
        <f t="shared" si="131"/>
        <v/>
      </c>
      <c r="U400" s="305" t="str">
        <f t="shared" si="132"/>
        <v/>
      </c>
      <c r="V400" s="305" t="str">
        <f t="shared" si="133"/>
        <v/>
      </c>
      <c r="W400" s="314" t="str">
        <f t="shared" si="134"/>
        <v/>
      </c>
      <c r="X400" s="314" t="str">
        <f t="shared" si="135"/>
        <v/>
      </c>
      <c r="Y400" s="326" t="str">
        <f t="shared" si="121"/>
        <v/>
      </c>
    </row>
    <row r="401" spans="7:25" x14ac:dyDescent="0.25">
      <c r="G401" s="303">
        <f t="shared" si="118"/>
        <v>0</v>
      </c>
      <c r="H401" s="304">
        <f t="shared" si="122"/>
        <v>394</v>
      </c>
      <c r="I401" s="305" t="str">
        <f t="shared" si="124"/>
        <v/>
      </c>
      <c r="J401" s="305" t="str">
        <f t="shared" si="125"/>
        <v/>
      </c>
      <c r="K401" s="305" t="str">
        <f t="shared" si="126"/>
        <v/>
      </c>
      <c r="L401" s="305" t="str">
        <f t="shared" si="127"/>
        <v/>
      </c>
      <c r="M401" s="314" t="str">
        <f t="shared" si="128"/>
        <v/>
      </c>
      <c r="N401" s="305" t="str">
        <f t="shared" si="129"/>
        <v/>
      </c>
      <c r="O401" s="327" t="e">
        <f t="shared" si="120"/>
        <v>#NUM!</v>
      </c>
      <c r="P401" s="305"/>
      <c r="Q401" s="303">
        <f t="shared" si="119"/>
        <v>0</v>
      </c>
      <c r="R401" s="304">
        <f t="shared" si="123"/>
        <v>-294</v>
      </c>
      <c r="S401" s="305" t="str">
        <f t="shared" si="130"/>
        <v/>
      </c>
      <c r="T401" s="305" t="str">
        <f t="shared" si="131"/>
        <v/>
      </c>
      <c r="U401" s="305" t="str">
        <f t="shared" si="132"/>
        <v/>
      </c>
      <c r="V401" s="305" t="str">
        <f t="shared" si="133"/>
        <v/>
      </c>
      <c r="W401" s="314" t="str">
        <f t="shared" si="134"/>
        <v/>
      </c>
      <c r="X401" s="314" t="str">
        <f t="shared" si="135"/>
        <v/>
      </c>
      <c r="Y401" s="326" t="str">
        <f t="shared" si="121"/>
        <v/>
      </c>
    </row>
    <row r="402" spans="7:25" x14ac:dyDescent="0.25">
      <c r="G402" s="303">
        <f t="shared" si="118"/>
        <v>0</v>
      </c>
      <c r="H402" s="304">
        <f t="shared" si="122"/>
        <v>395</v>
      </c>
      <c r="I402" s="305" t="str">
        <f t="shared" si="124"/>
        <v/>
      </c>
      <c r="J402" s="305" t="str">
        <f t="shared" si="125"/>
        <v/>
      </c>
      <c r="K402" s="305" t="str">
        <f t="shared" si="126"/>
        <v/>
      </c>
      <c r="L402" s="305" t="str">
        <f t="shared" si="127"/>
        <v/>
      </c>
      <c r="M402" s="314" t="str">
        <f t="shared" si="128"/>
        <v/>
      </c>
      <c r="N402" s="305" t="str">
        <f t="shared" si="129"/>
        <v/>
      </c>
      <c r="O402" s="327" t="e">
        <f t="shared" si="120"/>
        <v>#NUM!</v>
      </c>
      <c r="P402" s="305"/>
      <c r="Q402" s="303">
        <f t="shared" si="119"/>
        <v>0</v>
      </c>
      <c r="R402" s="304">
        <f t="shared" si="123"/>
        <v>-295</v>
      </c>
      <c r="S402" s="305" t="str">
        <f t="shared" si="130"/>
        <v/>
      </c>
      <c r="T402" s="305" t="str">
        <f t="shared" si="131"/>
        <v/>
      </c>
      <c r="U402" s="305" t="str">
        <f t="shared" si="132"/>
        <v/>
      </c>
      <c r="V402" s="305" t="str">
        <f t="shared" si="133"/>
        <v/>
      </c>
      <c r="W402" s="314" t="str">
        <f t="shared" si="134"/>
        <v/>
      </c>
      <c r="X402" s="314" t="str">
        <f t="shared" si="135"/>
        <v/>
      </c>
      <c r="Y402" s="326" t="str">
        <f t="shared" si="121"/>
        <v/>
      </c>
    </row>
    <row r="403" spans="7:25" x14ac:dyDescent="0.25">
      <c r="G403" s="303">
        <f t="shared" si="118"/>
        <v>0</v>
      </c>
      <c r="H403" s="304">
        <f t="shared" si="122"/>
        <v>396</v>
      </c>
      <c r="I403" s="305" t="str">
        <f t="shared" si="124"/>
        <v/>
      </c>
      <c r="J403" s="305" t="str">
        <f t="shared" si="125"/>
        <v/>
      </c>
      <c r="K403" s="305" t="str">
        <f t="shared" si="126"/>
        <v/>
      </c>
      <c r="L403" s="305" t="str">
        <f t="shared" si="127"/>
        <v/>
      </c>
      <c r="M403" s="314" t="str">
        <f t="shared" si="128"/>
        <v/>
      </c>
      <c r="N403" s="305" t="str">
        <f t="shared" si="129"/>
        <v/>
      </c>
      <c r="O403" s="327" t="e">
        <f t="shared" si="120"/>
        <v>#NUM!</v>
      </c>
      <c r="P403" s="305"/>
      <c r="Q403" s="303">
        <f t="shared" si="119"/>
        <v>0</v>
      </c>
      <c r="R403" s="304">
        <f t="shared" si="123"/>
        <v>-296</v>
      </c>
      <c r="S403" s="305" t="str">
        <f t="shared" si="130"/>
        <v/>
      </c>
      <c r="T403" s="305" t="str">
        <f t="shared" si="131"/>
        <v/>
      </c>
      <c r="U403" s="305" t="str">
        <f t="shared" si="132"/>
        <v/>
      </c>
      <c r="V403" s="305" t="str">
        <f t="shared" si="133"/>
        <v/>
      </c>
      <c r="W403" s="314" t="str">
        <f t="shared" si="134"/>
        <v/>
      </c>
      <c r="X403" s="314" t="str">
        <f t="shared" si="135"/>
        <v/>
      </c>
      <c r="Y403" s="326" t="str">
        <f t="shared" si="121"/>
        <v/>
      </c>
    </row>
    <row r="404" spans="7:25" x14ac:dyDescent="0.25">
      <c r="G404" s="303">
        <f t="shared" si="118"/>
        <v>0</v>
      </c>
      <c r="H404" s="304">
        <f t="shared" si="122"/>
        <v>397</v>
      </c>
      <c r="I404" s="305" t="str">
        <f t="shared" si="124"/>
        <v/>
      </c>
      <c r="J404" s="305" t="str">
        <f t="shared" si="125"/>
        <v/>
      </c>
      <c r="K404" s="305" t="str">
        <f t="shared" si="126"/>
        <v/>
      </c>
      <c r="L404" s="305" t="str">
        <f t="shared" si="127"/>
        <v/>
      </c>
      <c r="M404" s="314" t="str">
        <f t="shared" si="128"/>
        <v/>
      </c>
      <c r="N404" s="305" t="str">
        <f t="shared" si="129"/>
        <v/>
      </c>
      <c r="O404" s="327" t="e">
        <f t="shared" si="120"/>
        <v>#NUM!</v>
      </c>
      <c r="P404" s="305"/>
      <c r="Q404" s="303">
        <f t="shared" si="119"/>
        <v>0</v>
      </c>
      <c r="R404" s="304">
        <f t="shared" si="123"/>
        <v>-297</v>
      </c>
      <c r="S404" s="305" t="str">
        <f t="shared" si="130"/>
        <v/>
      </c>
      <c r="T404" s="305" t="str">
        <f t="shared" si="131"/>
        <v/>
      </c>
      <c r="U404" s="305" t="str">
        <f t="shared" si="132"/>
        <v/>
      </c>
      <c r="V404" s="305" t="str">
        <f t="shared" si="133"/>
        <v/>
      </c>
      <c r="W404" s="314" t="str">
        <f t="shared" si="134"/>
        <v/>
      </c>
      <c r="X404" s="314" t="str">
        <f t="shared" si="135"/>
        <v/>
      </c>
      <c r="Y404" s="326" t="str">
        <f t="shared" si="121"/>
        <v/>
      </c>
    </row>
    <row r="405" spans="7:25" x14ac:dyDescent="0.25">
      <c r="G405" s="303">
        <f t="shared" si="118"/>
        <v>0</v>
      </c>
      <c r="H405" s="304">
        <f t="shared" si="122"/>
        <v>398</v>
      </c>
      <c r="I405" s="305" t="str">
        <f t="shared" si="124"/>
        <v/>
      </c>
      <c r="J405" s="305" t="str">
        <f t="shared" si="125"/>
        <v/>
      </c>
      <c r="K405" s="305" t="str">
        <f t="shared" si="126"/>
        <v/>
      </c>
      <c r="L405" s="305" t="str">
        <f t="shared" si="127"/>
        <v/>
      </c>
      <c r="M405" s="314" t="str">
        <f t="shared" si="128"/>
        <v/>
      </c>
      <c r="N405" s="305" t="str">
        <f t="shared" si="129"/>
        <v/>
      </c>
      <c r="O405" s="327" t="e">
        <f t="shared" si="120"/>
        <v>#NUM!</v>
      </c>
      <c r="P405" s="305"/>
      <c r="Q405" s="303">
        <f t="shared" si="119"/>
        <v>0</v>
      </c>
      <c r="R405" s="304">
        <f t="shared" si="123"/>
        <v>-298</v>
      </c>
      <c r="S405" s="305" t="str">
        <f t="shared" si="130"/>
        <v/>
      </c>
      <c r="T405" s="305" t="str">
        <f t="shared" si="131"/>
        <v/>
      </c>
      <c r="U405" s="305" t="str">
        <f t="shared" si="132"/>
        <v/>
      </c>
      <c r="V405" s="305" t="str">
        <f t="shared" si="133"/>
        <v/>
      </c>
      <c r="W405" s="314" t="str">
        <f t="shared" si="134"/>
        <v/>
      </c>
      <c r="X405" s="314" t="str">
        <f t="shared" si="135"/>
        <v/>
      </c>
      <c r="Y405" s="326" t="str">
        <f t="shared" si="121"/>
        <v/>
      </c>
    </row>
    <row r="406" spans="7:25" x14ac:dyDescent="0.25">
      <c r="G406" s="303">
        <f t="shared" si="118"/>
        <v>0</v>
      </c>
      <c r="H406" s="304">
        <f t="shared" si="122"/>
        <v>399</v>
      </c>
      <c r="I406" s="305" t="str">
        <f t="shared" si="124"/>
        <v/>
      </c>
      <c r="J406" s="305" t="str">
        <f t="shared" si="125"/>
        <v/>
      </c>
      <c r="K406" s="305" t="str">
        <f t="shared" si="126"/>
        <v/>
      </c>
      <c r="L406" s="305" t="str">
        <f t="shared" si="127"/>
        <v/>
      </c>
      <c r="M406" s="314" t="str">
        <f t="shared" si="128"/>
        <v/>
      </c>
      <c r="N406" s="305" t="str">
        <f t="shared" si="129"/>
        <v/>
      </c>
      <c r="O406" s="327" t="e">
        <f t="shared" si="120"/>
        <v>#NUM!</v>
      </c>
      <c r="P406" s="305"/>
      <c r="Q406" s="303">
        <f t="shared" si="119"/>
        <v>0</v>
      </c>
      <c r="R406" s="304">
        <f t="shared" si="123"/>
        <v>-299</v>
      </c>
      <c r="S406" s="305" t="str">
        <f t="shared" si="130"/>
        <v/>
      </c>
      <c r="T406" s="305" t="str">
        <f t="shared" si="131"/>
        <v/>
      </c>
      <c r="U406" s="305" t="str">
        <f t="shared" si="132"/>
        <v/>
      </c>
      <c r="V406" s="305" t="str">
        <f t="shared" si="133"/>
        <v/>
      </c>
      <c r="W406" s="314" t="str">
        <f t="shared" si="134"/>
        <v/>
      </c>
      <c r="X406" s="314" t="str">
        <f t="shared" si="135"/>
        <v/>
      </c>
      <c r="Y406" s="326" t="str">
        <f t="shared" si="121"/>
        <v/>
      </c>
    </row>
    <row r="407" spans="7:25" x14ac:dyDescent="0.25">
      <c r="G407" s="303">
        <f t="shared" si="118"/>
        <v>0</v>
      </c>
      <c r="H407" s="304">
        <f t="shared" si="122"/>
        <v>400</v>
      </c>
      <c r="I407" s="305" t="str">
        <f t="shared" si="124"/>
        <v/>
      </c>
      <c r="J407" s="305" t="str">
        <f t="shared" si="125"/>
        <v/>
      </c>
      <c r="K407" s="305" t="str">
        <f t="shared" si="126"/>
        <v/>
      </c>
      <c r="L407" s="305" t="str">
        <f t="shared" si="127"/>
        <v/>
      </c>
      <c r="M407" s="314" t="str">
        <f t="shared" si="128"/>
        <v/>
      </c>
      <c r="N407" s="305" t="str">
        <f t="shared" si="129"/>
        <v/>
      </c>
      <c r="O407" s="327" t="e">
        <f t="shared" si="120"/>
        <v>#NUM!</v>
      </c>
      <c r="P407" s="305"/>
      <c r="Q407" s="303">
        <f t="shared" si="119"/>
        <v>0</v>
      </c>
      <c r="R407" s="304">
        <f t="shared" si="123"/>
        <v>-300</v>
      </c>
      <c r="S407" s="305" t="str">
        <f t="shared" si="130"/>
        <v/>
      </c>
      <c r="T407" s="305" t="str">
        <f t="shared" si="131"/>
        <v/>
      </c>
      <c r="U407" s="305" t="str">
        <f t="shared" si="132"/>
        <v/>
      </c>
      <c r="V407" s="305" t="str">
        <f t="shared" si="133"/>
        <v/>
      </c>
      <c r="W407" s="314" t="str">
        <f t="shared" si="134"/>
        <v/>
      </c>
      <c r="X407" s="314" t="str">
        <f t="shared" si="135"/>
        <v/>
      </c>
      <c r="Y407" s="326" t="str">
        <f t="shared" si="121"/>
        <v/>
      </c>
    </row>
    <row r="408" spans="7:25" x14ac:dyDescent="0.25">
      <c r="G408" s="303">
        <f t="shared" si="118"/>
        <v>0</v>
      </c>
      <c r="H408" s="304">
        <f t="shared" si="122"/>
        <v>401</v>
      </c>
      <c r="I408" s="305" t="str">
        <f t="shared" si="124"/>
        <v/>
      </c>
      <c r="J408" s="305" t="str">
        <f t="shared" si="125"/>
        <v/>
      </c>
      <c r="K408" s="305" t="str">
        <f t="shared" si="126"/>
        <v/>
      </c>
      <c r="L408" s="305" t="str">
        <f t="shared" si="127"/>
        <v/>
      </c>
      <c r="M408" s="314" t="str">
        <f t="shared" si="128"/>
        <v/>
      </c>
      <c r="N408" s="305" t="str">
        <f t="shared" si="129"/>
        <v/>
      </c>
      <c r="O408" s="327" t="e">
        <f t="shared" si="120"/>
        <v>#NUM!</v>
      </c>
      <c r="P408" s="305"/>
      <c r="Q408" s="303">
        <f t="shared" si="119"/>
        <v>0</v>
      </c>
      <c r="R408" s="304">
        <f t="shared" si="123"/>
        <v>-301</v>
      </c>
      <c r="S408" s="305" t="str">
        <f t="shared" si="130"/>
        <v/>
      </c>
      <c r="T408" s="305" t="str">
        <f t="shared" si="131"/>
        <v/>
      </c>
      <c r="U408" s="305" t="str">
        <f t="shared" si="132"/>
        <v/>
      </c>
      <c r="V408" s="305" t="str">
        <f t="shared" si="133"/>
        <v/>
      </c>
      <c r="W408" s="314" t="str">
        <f t="shared" si="134"/>
        <v/>
      </c>
      <c r="X408" s="314" t="str">
        <f t="shared" si="135"/>
        <v/>
      </c>
      <c r="Y408" s="326" t="str">
        <f t="shared" si="121"/>
        <v/>
      </c>
    </row>
    <row r="409" spans="7:25" x14ac:dyDescent="0.25">
      <c r="G409" s="303">
        <f t="shared" si="118"/>
        <v>0</v>
      </c>
      <c r="H409" s="304">
        <f t="shared" si="122"/>
        <v>402</v>
      </c>
      <c r="I409" s="305" t="str">
        <f t="shared" si="124"/>
        <v/>
      </c>
      <c r="J409" s="305" t="str">
        <f t="shared" si="125"/>
        <v/>
      </c>
      <c r="K409" s="305" t="str">
        <f t="shared" si="126"/>
        <v/>
      </c>
      <c r="L409" s="305" t="str">
        <f t="shared" si="127"/>
        <v/>
      </c>
      <c r="M409" s="314" t="str">
        <f t="shared" si="128"/>
        <v/>
      </c>
      <c r="N409" s="305" t="str">
        <f t="shared" si="129"/>
        <v/>
      </c>
      <c r="O409" s="327" t="e">
        <f t="shared" si="120"/>
        <v>#NUM!</v>
      </c>
      <c r="P409" s="305"/>
      <c r="Q409" s="303">
        <f t="shared" si="119"/>
        <v>0</v>
      </c>
      <c r="R409" s="304">
        <f t="shared" si="123"/>
        <v>-302</v>
      </c>
      <c r="S409" s="305" t="str">
        <f t="shared" si="130"/>
        <v/>
      </c>
      <c r="T409" s="305" t="str">
        <f t="shared" si="131"/>
        <v/>
      </c>
      <c r="U409" s="305" t="str">
        <f t="shared" si="132"/>
        <v/>
      </c>
      <c r="V409" s="305" t="str">
        <f t="shared" si="133"/>
        <v/>
      </c>
      <c r="W409" s="314" t="str">
        <f t="shared" si="134"/>
        <v/>
      </c>
      <c r="X409" s="314" t="str">
        <f t="shared" si="135"/>
        <v/>
      </c>
      <c r="Y409" s="326" t="str">
        <f t="shared" si="121"/>
        <v/>
      </c>
    </row>
    <row r="410" spans="7:25" x14ac:dyDescent="0.25">
      <c r="G410" s="303">
        <f t="shared" si="118"/>
        <v>0</v>
      </c>
      <c r="H410" s="304">
        <f t="shared" si="122"/>
        <v>403</v>
      </c>
      <c r="I410" s="305" t="str">
        <f t="shared" si="124"/>
        <v/>
      </c>
      <c r="J410" s="305" t="str">
        <f t="shared" si="125"/>
        <v/>
      </c>
      <c r="K410" s="305" t="str">
        <f t="shared" si="126"/>
        <v/>
      </c>
      <c r="L410" s="305" t="str">
        <f t="shared" si="127"/>
        <v/>
      </c>
      <c r="M410" s="314" t="str">
        <f t="shared" si="128"/>
        <v/>
      </c>
      <c r="N410" s="305" t="str">
        <f t="shared" si="129"/>
        <v/>
      </c>
      <c r="O410" s="327" t="e">
        <f t="shared" si="120"/>
        <v>#NUM!</v>
      </c>
      <c r="P410" s="305"/>
      <c r="Q410" s="303">
        <f t="shared" si="119"/>
        <v>0</v>
      </c>
      <c r="R410" s="304">
        <f t="shared" si="123"/>
        <v>-303</v>
      </c>
      <c r="S410" s="305" t="str">
        <f t="shared" si="130"/>
        <v/>
      </c>
      <c r="T410" s="305" t="str">
        <f t="shared" si="131"/>
        <v/>
      </c>
      <c r="U410" s="305" t="str">
        <f t="shared" si="132"/>
        <v/>
      </c>
      <c r="V410" s="305" t="str">
        <f t="shared" si="133"/>
        <v/>
      </c>
      <c r="W410" s="314" t="str">
        <f t="shared" si="134"/>
        <v/>
      </c>
      <c r="X410" s="314" t="str">
        <f t="shared" si="135"/>
        <v/>
      </c>
      <c r="Y410" s="326" t="str">
        <f t="shared" si="121"/>
        <v/>
      </c>
    </row>
    <row r="411" spans="7:25" x14ac:dyDescent="0.25">
      <c r="G411" s="303">
        <f t="shared" si="118"/>
        <v>0</v>
      </c>
      <c r="H411" s="304">
        <f t="shared" si="122"/>
        <v>404</v>
      </c>
      <c r="I411" s="305" t="str">
        <f t="shared" si="124"/>
        <v/>
      </c>
      <c r="J411" s="305" t="str">
        <f t="shared" si="125"/>
        <v/>
      </c>
      <c r="K411" s="305" t="str">
        <f t="shared" si="126"/>
        <v/>
      </c>
      <c r="L411" s="305" t="str">
        <f t="shared" si="127"/>
        <v/>
      </c>
      <c r="M411" s="314" t="str">
        <f t="shared" si="128"/>
        <v/>
      </c>
      <c r="N411" s="305" t="str">
        <f t="shared" si="129"/>
        <v/>
      </c>
      <c r="O411" s="327" t="e">
        <f t="shared" si="120"/>
        <v>#NUM!</v>
      </c>
      <c r="P411" s="305"/>
      <c r="Q411" s="303">
        <f t="shared" si="119"/>
        <v>0</v>
      </c>
      <c r="R411" s="304">
        <f t="shared" si="123"/>
        <v>-304</v>
      </c>
      <c r="S411" s="305" t="str">
        <f t="shared" si="130"/>
        <v/>
      </c>
      <c r="T411" s="305" t="str">
        <f t="shared" si="131"/>
        <v/>
      </c>
      <c r="U411" s="305" t="str">
        <f t="shared" si="132"/>
        <v/>
      </c>
      <c r="V411" s="305" t="str">
        <f t="shared" si="133"/>
        <v/>
      </c>
      <c r="W411" s="314" t="str">
        <f t="shared" si="134"/>
        <v/>
      </c>
      <c r="X411" s="314" t="str">
        <f t="shared" si="135"/>
        <v/>
      </c>
      <c r="Y411" s="326" t="str">
        <f t="shared" si="121"/>
        <v/>
      </c>
    </row>
    <row r="412" spans="7:25" x14ac:dyDescent="0.25">
      <c r="G412" s="303">
        <f t="shared" si="118"/>
        <v>0</v>
      </c>
      <c r="H412" s="304">
        <f t="shared" si="122"/>
        <v>405</v>
      </c>
      <c r="I412" s="305" t="str">
        <f t="shared" si="124"/>
        <v/>
      </c>
      <c r="J412" s="305" t="str">
        <f t="shared" si="125"/>
        <v/>
      </c>
      <c r="K412" s="305" t="str">
        <f t="shared" si="126"/>
        <v/>
      </c>
      <c r="L412" s="305" t="str">
        <f t="shared" si="127"/>
        <v/>
      </c>
      <c r="M412" s="314" t="str">
        <f t="shared" si="128"/>
        <v/>
      </c>
      <c r="N412" s="305" t="str">
        <f t="shared" si="129"/>
        <v/>
      </c>
      <c r="O412" s="327" t="e">
        <f t="shared" si="120"/>
        <v>#NUM!</v>
      </c>
      <c r="P412" s="305"/>
      <c r="Q412" s="303">
        <f t="shared" si="119"/>
        <v>0</v>
      </c>
      <c r="R412" s="304">
        <f t="shared" si="123"/>
        <v>-305</v>
      </c>
      <c r="S412" s="305" t="str">
        <f t="shared" si="130"/>
        <v/>
      </c>
      <c r="T412" s="305" t="str">
        <f t="shared" si="131"/>
        <v/>
      </c>
      <c r="U412" s="305" t="str">
        <f t="shared" si="132"/>
        <v/>
      </c>
      <c r="V412" s="305" t="str">
        <f t="shared" si="133"/>
        <v/>
      </c>
      <c r="W412" s="314" t="str">
        <f t="shared" si="134"/>
        <v/>
      </c>
      <c r="X412" s="314" t="str">
        <f t="shared" si="135"/>
        <v/>
      </c>
      <c r="Y412" s="326" t="str">
        <f t="shared" si="121"/>
        <v/>
      </c>
    </row>
    <row r="413" spans="7:25" x14ac:dyDescent="0.25">
      <c r="G413" s="303">
        <f t="shared" si="118"/>
        <v>0</v>
      </c>
      <c r="H413" s="304">
        <f t="shared" si="122"/>
        <v>406</v>
      </c>
      <c r="I413" s="305" t="str">
        <f t="shared" si="124"/>
        <v/>
      </c>
      <c r="J413" s="305" t="str">
        <f t="shared" si="125"/>
        <v/>
      </c>
      <c r="K413" s="305" t="str">
        <f t="shared" si="126"/>
        <v/>
      </c>
      <c r="L413" s="305" t="str">
        <f t="shared" si="127"/>
        <v/>
      </c>
      <c r="M413" s="314" t="str">
        <f t="shared" si="128"/>
        <v/>
      </c>
      <c r="N413" s="305" t="str">
        <f t="shared" si="129"/>
        <v/>
      </c>
      <c r="O413" s="327" t="e">
        <f t="shared" si="120"/>
        <v>#NUM!</v>
      </c>
      <c r="P413" s="305"/>
      <c r="Q413" s="303">
        <f t="shared" si="119"/>
        <v>0</v>
      </c>
      <c r="R413" s="304">
        <f t="shared" si="123"/>
        <v>-306</v>
      </c>
      <c r="S413" s="305" t="str">
        <f t="shared" si="130"/>
        <v/>
      </c>
      <c r="T413" s="305" t="str">
        <f t="shared" si="131"/>
        <v/>
      </c>
      <c r="U413" s="305" t="str">
        <f t="shared" si="132"/>
        <v/>
      </c>
      <c r="V413" s="305" t="str">
        <f t="shared" si="133"/>
        <v/>
      </c>
      <c r="W413" s="314" t="str">
        <f t="shared" si="134"/>
        <v/>
      </c>
      <c r="X413" s="314" t="str">
        <f t="shared" si="135"/>
        <v/>
      </c>
      <c r="Y413" s="326" t="str">
        <f t="shared" si="121"/>
        <v/>
      </c>
    </row>
    <row r="414" spans="7:25" x14ac:dyDescent="0.25">
      <c r="G414" s="303">
        <f t="shared" si="118"/>
        <v>0</v>
      </c>
      <c r="H414" s="304">
        <f t="shared" si="122"/>
        <v>407</v>
      </c>
      <c r="I414" s="305" t="str">
        <f t="shared" si="124"/>
        <v/>
      </c>
      <c r="J414" s="305" t="str">
        <f t="shared" si="125"/>
        <v/>
      </c>
      <c r="K414" s="305" t="str">
        <f t="shared" si="126"/>
        <v/>
      </c>
      <c r="L414" s="305" t="str">
        <f t="shared" si="127"/>
        <v/>
      </c>
      <c r="M414" s="314" t="str">
        <f t="shared" si="128"/>
        <v/>
      </c>
      <c r="N414" s="305" t="str">
        <f t="shared" si="129"/>
        <v/>
      </c>
      <c r="O414" s="327" t="e">
        <f t="shared" si="120"/>
        <v>#NUM!</v>
      </c>
      <c r="P414" s="305"/>
      <c r="Q414" s="303">
        <f t="shared" si="119"/>
        <v>0</v>
      </c>
      <c r="R414" s="304">
        <f t="shared" si="123"/>
        <v>-307</v>
      </c>
      <c r="S414" s="305" t="str">
        <f t="shared" si="130"/>
        <v/>
      </c>
      <c r="T414" s="305" t="str">
        <f t="shared" si="131"/>
        <v/>
      </c>
      <c r="U414" s="305" t="str">
        <f t="shared" si="132"/>
        <v/>
      </c>
      <c r="V414" s="305" t="str">
        <f t="shared" si="133"/>
        <v/>
      </c>
      <c r="W414" s="314" t="str">
        <f t="shared" si="134"/>
        <v/>
      </c>
      <c r="X414" s="314" t="str">
        <f t="shared" si="135"/>
        <v/>
      </c>
      <c r="Y414" s="326" t="str">
        <f t="shared" si="121"/>
        <v/>
      </c>
    </row>
    <row r="415" spans="7:25" x14ac:dyDescent="0.25">
      <c r="G415" s="303">
        <f t="shared" si="118"/>
        <v>0</v>
      </c>
      <c r="H415" s="304">
        <f t="shared" si="122"/>
        <v>408</v>
      </c>
      <c r="I415" s="305" t="str">
        <f t="shared" si="124"/>
        <v/>
      </c>
      <c r="J415" s="305" t="str">
        <f t="shared" si="125"/>
        <v/>
      </c>
      <c r="K415" s="305" t="str">
        <f t="shared" si="126"/>
        <v/>
      </c>
      <c r="L415" s="305" t="str">
        <f t="shared" si="127"/>
        <v/>
      </c>
      <c r="M415" s="314" t="str">
        <f t="shared" si="128"/>
        <v/>
      </c>
      <c r="N415" s="305" t="str">
        <f t="shared" si="129"/>
        <v/>
      </c>
      <c r="O415" s="327" t="e">
        <f t="shared" si="120"/>
        <v>#NUM!</v>
      </c>
      <c r="P415" s="305"/>
      <c r="Q415" s="303">
        <f t="shared" si="119"/>
        <v>0</v>
      </c>
      <c r="R415" s="304">
        <f t="shared" si="123"/>
        <v>-308</v>
      </c>
      <c r="S415" s="305" t="str">
        <f t="shared" si="130"/>
        <v/>
      </c>
      <c r="T415" s="305" t="str">
        <f t="shared" si="131"/>
        <v/>
      </c>
      <c r="U415" s="305" t="str">
        <f t="shared" si="132"/>
        <v/>
      </c>
      <c r="V415" s="305" t="str">
        <f t="shared" si="133"/>
        <v/>
      </c>
      <c r="W415" s="314" t="str">
        <f t="shared" si="134"/>
        <v/>
      </c>
      <c r="X415" s="314" t="str">
        <f t="shared" si="135"/>
        <v/>
      </c>
      <c r="Y415" s="326" t="str">
        <f t="shared" si="121"/>
        <v/>
      </c>
    </row>
    <row r="416" spans="7:25" x14ac:dyDescent="0.25">
      <c r="G416" s="303">
        <f t="shared" si="118"/>
        <v>0</v>
      </c>
      <c r="H416" s="304">
        <f t="shared" si="122"/>
        <v>409</v>
      </c>
      <c r="I416" s="305" t="str">
        <f t="shared" si="124"/>
        <v/>
      </c>
      <c r="J416" s="305" t="str">
        <f t="shared" si="125"/>
        <v/>
      </c>
      <c r="K416" s="305" t="str">
        <f t="shared" si="126"/>
        <v/>
      </c>
      <c r="L416" s="305" t="str">
        <f t="shared" si="127"/>
        <v/>
      </c>
      <c r="M416" s="314" t="str">
        <f t="shared" si="128"/>
        <v/>
      </c>
      <c r="N416" s="305" t="str">
        <f t="shared" si="129"/>
        <v/>
      </c>
      <c r="O416" s="327" t="e">
        <f t="shared" si="120"/>
        <v>#NUM!</v>
      </c>
      <c r="P416" s="305"/>
      <c r="Q416" s="303">
        <f t="shared" si="119"/>
        <v>0</v>
      </c>
      <c r="R416" s="304">
        <f t="shared" si="123"/>
        <v>-309</v>
      </c>
      <c r="S416" s="305" t="str">
        <f t="shared" si="130"/>
        <v/>
      </c>
      <c r="T416" s="305" t="str">
        <f t="shared" si="131"/>
        <v/>
      </c>
      <c r="U416" s="305" t="str">
        <f t="shared" si="132"/>
        <v/>
      </c>
      <c r="V416" s="305" t="str">
        <f t="shared" si="133"/>
        <v/>
      </c>
      <c r="W416" s="314" t="str">
        <f t="shared" si="134"/>
        <v/>
      </c>
      <c r="X416" s="314" t="str">
        <f t="shared" si="135"/>
        <v/>
      </c>
      <c r="Y416" s="326" t="str">
        <f t="shared" si="121"/>
        <v/>
      </c>
    </row>
    <row r="417" spans="7:25" x14ac:dyDescent="0.25">
      <c r="G417" s="303">
        <f t="shared" si="118"/>
        <v>0</v>
      </c>
      <c r="H417" s="304">
        <f t="shared" si="122"/>
        <v>410</v>
      </c>
      <c r="I417" s="305" t="str">
        <f t="shared" si="124"/>
        <v/>
      </c>
      <c r="J417" s="305" t="str">
        <f t="shared" si="125"/>
        <v/>
      </c>
      <c r="K417" s="305" t="str">
        <f t="shared" si="126"/>
        <v/>
      </c>
      <c r="L417" s="305" t="str">
        <f t="shared" si="127"/>
        <v/>
      </c>
      <c r="M417" s="314" t="str">
        <f t="shared" si="128"/>
        <v/>
      </c>
      <c r="N417" s="305" t="str">
        <f t="shared" si="129"/>
        <v/>
      </c>
      <c r="O417" s="327" t="e">
        <f t="shared" si="120"/>
        <v>#NUM!</v>
      </c>
      <c r="P417" s="305"/>
      <c r="Q417" s="303">
        <f t="shared" si="119"/>
        <v>0</v>
      </c>
      <c r="R417" s="304">
        <f t="shared" si="123"/>
        <v>-310</v>
      </c>
      <c r="S417" s="305" t="str">
        <f t="shared" si="130"/>
        <v/>
      </c>
      <c r="T417" s="305" t="str">
        <f t="shared" si="131"/>
        <v/>
      </c>
      <c r="U417" s="305" t="str">
        <f t="shared" si="132"/>
        <v/>
      </c>
      <c r="V417" s="305" t="str">
        <f t="shared" si="133"/>
        <v/>
      </c>
      <c r="W417" s="314" t="str">
        <f t="shared" si="134"/>
        <v/>
      </c>
      <c r="X417" s="314" t="str">
        <f t="shared" si="135"/>
        <v/>
      </c>
      <c r="Y417" s="326" t="str">
        <f t="shared" si="121"/>
        <v/>
      </c>
    </row>
    <row r="418" spans="7:25" x14ac:dyDescent="0.25">
      <c r="G418" s="303">
        <f t="shared" si="118"/>
        <v>0</v>
      </c>
      <c r="H418" s="304">
        <f t="shared" si="122"/>
        <v>411</v>
      </c>
      <c r="I418" s="305" t="str">
        <f t="shared" si="124"/>
        <v/>
      </c>
      <c r="J418" s="305" t="str">
        <f t="shared" si="125"/>
        <v/>
      </c>
      <c r="K418" s="305" t="str">
        <f t="shared" si="126"/>
        <v/>
      </c>
      <c r="L418" s="305" t="str">
        <f t="shared" si="127"/>
        <v/>
      </c>
      <c r="M418" s="314" t="str">
        <f t="shared" si="128"/>
        <v/>
      </c>
      <c r="N418" s="305" t="str">
        <f t="shared" si="129"/>
        <v/>
      </c>
      <c r="O418" s="327" t="e">
        <f t="shared" si="120"/>
        <v>#NUM!</v>
      </c>
      <c r="P418" s="305"/>
      <c r="Q418" s="303">
        <f t="shared" si="119"/>
        <v>0</v>
      </c>
      <c r="R418" s="304">
        <f t="shared" si="123"/>
        <v>-311</v>
      </c>
      <c r="S418" s="305" t="str">
        <f t="shared" si="130"/>
        <v/>
      </c>
      <c r="T418" s="305" t="str">
        <f t="shared" si="131"/>
        <v/>
      </c>
      <c r="U418" s="305" t="str">
        <f t="shared" si="132"/>
        <v/>
      </c>
      <c r="V418" s="305" t="str">
        <f t="shared" si="133"/>
        <v/>
      </c>
      <c r="W418" s="314" t="str">
        <f t="shared" si="134"/>
        <v/>
      </c>
      <c r="X418" s="314" t="str">
        <f t="shared" si="135"/>
        <v/>
      </c>
      <c r="Y418" s="326" t="str">
        <f t="shared" si="121"/>
        <v/>
      </c>
    </row>
    <row r="419" spans="7:25" x14ac:dyDescent="0.25">
      <c r="G419" s="303">
        <f t="shared" si="118"/>
        <v>0</v>
      </c>
      <c r="H419" s="304">
        <f t="shared" si="122"/>
        <v>412</v>
      </c>
      <c r="I419" s="305" t="str">
        <f t="shared" si="124"/>
        <v/>
      </c>
      <c r="J419" s="305" t="str">
        <f t="shared" si="125"/>
        <v/>
      </c>
      <c r="K419" s="305" t="str">
        <f t="shared" si="126"/>
        <v/>
      </c>
      <c r="L419" s="305" t="str">
        <f t="shared" si="127"/>
        <v/>
      </c>
      <c r="M419" s="314" t="str">
        <f t="shared" si="128"/>
        <v/>
      </c>
      <c r="N419" s="305" t="str">
        <f t="shared" si="129"/>
        <v/>
      </c>
      <c r="O419" s="327" t="e">
        <f t="shared" si="120"/>
        <v>#NUM!</v>
      </c>
      <c r="P419" s="305"/>
      <c r="Q419" s="303">
        <f t="shared" si="119"/>
        <v>0</v>
      </c>
      <c r="R419" s="304">
        <f t="shared" si="123"/>
        <v>-312</v>
      </c>
      <c r="S419" s="305" t="str">
        <f t="shared" si="130"/>
        <v/>
      </c>
      <c r="T419" s="305" t="str">
        <f t="shared" si="131"/>
        <v/>
      </c>
      <c r="U419" s="305" t="str">
        <f t="shared" si="132"/>
        <v/>
      </c>
      <c r="V419" s="305" t="str">
        <f t="shared" si="133"/>
        <v/>
      </c>
      <c r="W419" s="314" t="str">
        <f t="shared" si="134"/>
        <v/>
      </c>
      <c r="X419" s="314" t="str">
        <f t="shared" si="135"/>
        <v/>
      </c>
      <c r="Y419" s="326" t="str">
        <f t="shared" si="121"/>
        <v/>
      </c>
    </row>
    <row r="420" spans="7:25" x14ac:dyDescent="0.25">
      <c r="G420" s="303">
        <f t="shared" si="118"/>
        <v>0</v>
      </c>
      <c r="H420" s="304">
        <f t="shared" si="122"/>
        <v>413</v>
      </c>
      <c r="I420" s="305" t="str">
        <f t="shared" si="124"/>
        <v/>
      </c>
      <c r="J420" s="305" t="str">
        <f t="shared" si="125"/>
        <v/>
      </c>
      <c r="K420" s="305" t="str">
        <f t="shared" si="126"/>
        <v/>
      </c>
      <c r="L420" s="305" t="str">
        <f t="shared" si="127"/>
        <v/>
      </c>
      <c r="M420" s="314" t="str">
        <f t="shared" si="128"/>
        <v/>
      </c>
      <c r="N420" s="305" t="str">
        <f t="shared" si="129"/>
        <v/>
      </c>
      <c r="O420" s="327" t="e">
        <f t="shared" si="120"/>
        <v>#NUM!</v>
      </c>
      <c r="P420" s="305"/>
      <c r="Q420" s="303">
        <f t="shared" si="119"/>
        <v>0</v>
      </c>
      <c r="R420" s="304">
        <f t="shared" si="123"/>
        <v>-313</v>
      </c>
      <c r="S420" s="305" t="str">
        <f t="shared" si="130"/>
        <v/>
      </c>
      <c r="T420" s="305" t="str">
        <f t="shared" si="131"/>
        <v/>
      </c>
      <c r="U420" s="305" t="str">
        <f t="shared" si="132"/>
        <v/>
      </c>
      <c r="V420" s="305" t="str">
        <f t="shared" si="133"/>
        <v/>
      </c>
      <c r="W420" s="314" t="str">
        <f t="shared" si="134"/>
        <v/>
      </c>
      <c r="X420" s="314" t="str">
        <f t="shared" si="135"/>
        <v/>
      </c>
      <c r="Y420" s="326" t="str">
        <f t="shared" si="121"/>
        <v/>
      </c>
    </row>
    <row r="421" spans="7:25" x14ac:dyDescent="0.25">
      <c r="G421" s="303">
        <f t="shared" si="118"/>
        <v>0</v>
      </c>
      <c r="H421" s="304">
        <f t="shared" si="122"/>
        <v>414</v>
      </c>
      <c r="I421" s="305" t="str">
        <f t="shared" si="124"/>
        <v/>
      </c>
      <c r="J421" s="305" t="str">
        <f t="shared" si="125"/>
        <v/>
      </c>
      <c r="K421" s="305" t="str">
        <f t="shared" si="126"/>
        <v/>
      </c>
      <c r="L421" s="305" t="str">
        <f t="shared" si="127"/>
        <v/>
      </c>
      <c r="M421" s="314" t="str">
        <f t="shared" si="128"/>
        <v/>
      </c>
      <c r="N421" s="305" t="str">
        <f t="shared" si="129"/>
        <v/>
      </c>
      <c r="O421" s="327" t="e">
        <f t="shared" si="120"/>
        <v>#NUM!</v>
      </c>
      <c r="P421" s="305"/>
      <c r="Q421" s="303">
        <f t="shared" si="119"/>
        <v>0</v>
      </c>
      <c r="R421" s="304">
        <f t="shared" si="123"/>
        <v>-314</v>
      </c>
      <c r="S421" s="305" t="str">
        <f t="shared" si="130"/>
        <v/>
      </c>
      <c r="T421" s="305" t="str">
        <f t="shared" si="131"/>
        <v/>
      </c>
      <c r="U421" s="305" t="str">
        <f t="shared" si="132"/>
        <v/>
      </c>
      <c r="V421" s="305" t="str">
        <f t="shared" si="133"/>
        <v/>
      </c>
      <c r="W421" s="314" t="str">
        <f t="shared" si="134"/>
        <v/>
      </c>
      <c r="X421" s="314" t="str">
        <f t="shared" si="135"/>
        <v/>
      </c>
      <c r="Y421" s="326" t="str">
        <f t="shared" si="121"/>
        <v/>
      </c>
    </row>
    <row r="422" spans="7:25" x14ac:dyDescent="0.25">
      <c r="G422" s="303">
        <f t="shared" si="118"/>
        <v>0</v>
      </c>
      <c r="H422" s="304">
        <f t="shared" si="122"/>
        <v>415</v>
      </c>
      <c r="I422" s="305" t="str">
        <f t="shared" si="124"/>
        <v/>
      </c>
      <c r="J422" s="305" t="str">
        <f t="shared" si="125"/>
        <v/>
      </c>
      <c r="K422" s="305" t="str">
        <f t="shared" si="126"/>
        <v/>
      </c>
      <c r="L422" s="305" t="str">
        <f t="shared" si="127"/>
        <v/>
      </c>
      <c r="M422" s="314" t="str">
        <f t="shared" si="128"/>
        <v/>
      </c>
      <c r="N422" s="305" t="str">
        <f t="shared" si="129"/>
        <v/>
      </c>
      <c r="O422" s="327" t="e">
        <f t="shared" si="120"/>
        <v>#NUM!</v>
      </c>
      <c r="P422" s="305"/>
      <c r="Q422" s="303">
        <f t="shared" si="119"/>
        <v>0</v>
      </c>
      <c r="R422" s="304">
        <f t="shared" si="123"/>
        <v>-315</v>
      </c>
      <c r="S422" s="305" t="str">
        <f t="shared" si="130"/>
        <v/>
      </c>
      <c r="T422" s="305" t="str">
        <f t="shared" si="131"/>
        <v/>
      </c>
      <c r="U422" s="305" t="str">
        <f t="shared" si="132"/>
        <v/>
      </c>
      <c r="V422" s="305" t="str">
        <f t="shared" si="133"/>
        <v/>
      </c>
      <c r="W422" s="314" t="str">
        <f t="shared" si="134"/>
        <v/>
      </c>
      <c r="X422" s="314" t="str">
        <f t="shared" si="135"/>
        <v/>
      </c>
      <c r="Y422" s="326" t="str">
        <f t="shared" si="121"/>
        <v/>
      </c>
    </row>
    <row r="423" spans="7:25" x14ac:dyDescent="0.25">
      <c r="G423" s="303">
        <f t="shared" si="118"/>
        <v>0</v>
      </c>
      <c r="H423" s="304">
        <f t="shared" si="122"/>
        <v>416</v>
      </c>
      <c r="I423" s="305" t="str">
        <f t="shared" si="124"/>
        <v/>
      </c>
      <c r="J423" s="305" t="str">
        <f t="shared" si="125"/>
        <v/>
      </c>
      <c r="K423" s="305" t="str">
        <f t="shared" si="126"/>
        <v/>
      </c>
      <c r="L423" s="305" t="str">
        <f t="shared" si="127"/>
        <v/>
      </c>
      <c r="M423" s="314" t="str">
        <f t="shared" si="128"/>
        <v/>
      </c>
      <c r="N423" s="305" t="str">
        <f t="shared" si="129"/>
        <v/>
      </c>
      <c r="O423" s="327" t="e">
        <f t="shared" si="120"/>
        <v>#NUM!</v>
      </c>
      <c r="P423" s="305"/>
      <c r="Q423" s="303">
        <f t="shared" si="119"/>
        <v>0</v>
      </c>
      <c r="R423" s="304">
        <f t="shared" si="123"/>
        <v>-316</v>
      </c>
      <c r="S423" s="305" t="str">
        <f t="shared" si="130"/>
        <v/>
      </c>
      <c r="T423" s="305" t="str">
        <f t="shared" si="131"/>
        <v/>
      </c>
      <c r="U423" s="305" t="str">
        <f t="shared" si="132"/>
        <v/>
      </c>
      <c r="V423" s="305" t="str">
        <f t="shared" si="133"/>
        <v/>
      </c>
      <c r="W423" s="314" t="str">
        <f t="shared" si="134"/>
        <v/>
      </c>
      <c r="X423" s="314" t="str">
        <f t="shared" si="135"/>
        <v/>
      </c>
      <c r="Y423" s="326" t="str">
        <f t="shared" si="121"/>
        <v/>
      </c>
    </row>
    <row r="424" spans="7:25" x14ac:dyDescent="0.25">
      <c r="G424" s="303">
        <f t="shared" si="118"/>
        <v>0</v>
      </c>
      <c r="H424" s="304">
        <f t="shared" si="122"/>
        <v>417</v>
      </c>
      <c r="I424" s="305" t="str">
        <f t="shared" si="124"/>
        <v/>
      </c>
      <c r="J424" s="305" t="str">
        <f t="shared" si="125"/>
        <v/>
      </c>
      <c r="K424" s="305" t="str">
        <f t="shared" si="126"/>
        <v/>
      </c>
      <c r="L424" s="305" t="str">
        <f t="shared" si="127"/>
        <v/>
      </c>
      <c r="M424" s="314" t="str">
        <f t="shared" si="128"/>
        <v/>
      </c>
      <c r="N424" s="305" t="str">
        <f t="shared" si="129"/>
        <v/>
      </c>
      <c r="O424" s="327" t="e">
        <f t="shared" si="120"/>
        <v>#NUM!</v>
      </c>
      <c r="P424" s="305"/>
      <c r="Q424" s="303">
        <f t="shared" si="119"/>
        <v>0</v>
      </c>
      <c r="R424" s="304">
        <f t="shared" si="123"/>
        <v>-317</v>
      </c>
      <c r="S424" s="305" t="str">
        <f t="shared" si="130"/>
        <v/>
      </c>
      <c r="T424" s="305" t="str">
        <f t="shared" si="131"/>
        <v/>
      </c>
      <c r="U424" s="305" t="str">
        <f t="shared" si="132"/>
        <v/>
      </c>
      <c r="V424" s="305" t="str">
        <f t="shared" si="133"/>
        <v/>
      </c>
      <c r="W424" s="314" t="str">
        <f t="shared" si="134"/>
        <v/>
      </c>
      <c r="X424" s="314" t="str">
        <f t="shared" si="135"/>
        <v/>
      </c>
      <c r="Y424" s="326" t="str">
        <f t="shared" si="121"/>
        <v/>
      </c>
    </row>
    <row r="425" spans="7:25" x14ac:dyDescent="0.25">
      <c r="G425" s="303">
        <f t="shared" si="118"/>
        <v>0</v>
      </c>
      <c r="H425" s="304">
        <f t="shared" si="122"/>
        <v>418</v>
      </c>
      <c r="I425" s="305" t="str">
        <f t="shared" si="124"/>
        <v/>
      </c>
      <c r="J425" s="305" t="str">
        <f t="shared" si="125"/>
        <v/>
      </c>
      <c r="K425" s="305" t="str">
        <f t="shared" si="126"/>
        <v/>
      </c>
      <c r="L425" s="305" t="str">
        <f t="shared" si="127"/>
        <v/>
      </c>
      <c r="M425" s="314" t="str">
        <f t="shared" si="128"/>
        <v/>
      </c>
      <c r="N425" s="305" t="str">
        <f t="shared" si="129"/>
        <v/>
      </c>
      <c r="O425" s="327" t="e">
        <f t="shared" si="120"/>
        <v>#NUM!</v>
      </c>
      <c r="P425" s="305"/>
      <c r="Q425" s="303">
        <f t="shared" si="119"/>
        <v>0</v>
      </c>
      <c r="R425" s="304">
        <f t="shared" si="123"/>
        <v>-318</v>
      </c>
      <c r="S425" s="305" t="str">
        <f t="shared" si="130"/>
        <v/>
      </c>
      <c r="T425" s="305" t="str">
        <f t="shared" si="131"/>
        <v/>
      </c>
      <c r="U425" s="305" t="str">
        <f t="shared" si="132"/>
        <v/>
      </c>
      <c r="V425" s="305" t="str">
        <f t="shared" si="133"/>
        <v/>
      </c>
      <c r="W425" s="314" t="str">
        <f t="shared" si="134"/>
        <v/>
      </c>
      <c r="X425" s="314" t="str">
        <f t="shared" si="135"/>
        <v/>
      </c>
      <c r="Y425" s="326" t="str">
        <f t="shared" si="121"/>
        <v/>
      </c>
    </row>
    <row r="426" spans="7:25" x14ac:dyDescent="0.25">
      <c r="G426" s="303">
        <f t="shared" si="118"/>
        <v>0</v>
      </c>
      <c r="H426" s="304">
        <f t="shared" si="122"/>
        <v>419</v>
      </c>
      <c r="I426" s="305" t="str">
        <f t="shared" si="124"/>
        <v/>
      </c>
      <c r="J426" s="305" t="str">
        <f t="shared" si="125"/>
        <v/>
      </c>
      <c r="K426" s="305" t="str">
        <f t="shared" si="126"/>
        <v/>
      </c>
      <c r="L426" s="305" t="str">
        <f t="shared" si="127"/>
        <v/>
      </c>
      <c r="M426" s="314" t="str">
        <f t="shared" si="128"/>
        <v/>
      </c>
      <c r="N426" s="305" t="str">
        <f t="shared" si="129"/>
        <v/>
      </c>
      <c r="O426" s="327" t="e">
        <f t="shared" si="120"/>
        <v>#NUM!</v>
      </c>
      <c r="P426" s="305"/>
      <c r="Q426" s="303">
        <f t="shared" si="119"/>
        <v>0</v>
      </c>
      <c r="R426" s="304">
        <f t="shared" si="123"/>
        <v>-319</v>
      </c>
      <c r="S426" s="305" t="str">
        <f t="shared" si="130"/>
        <v/>
      </c>
      <c r="T426" s="305" t="str">
        <f t="shared" si="131"/>
        <v/>
      </c>
      <c r="U426" s="305" t="str">
        <f t="shared" si="132"/>
        <v/>
      </c>
      <c r="V426" s="305" t="str">
        <f t="shared" si="133"/>
        <v/>
      </c>
      <c r="W426" s="314" t="str">
        <f t="shared" si="134"/>
        <v/>
      </c>
      <c r="X426" s="314" t="str">
        <f t="shared" si="135"/>
        <v/>
      </c>
      <c r="Y426" s="326" t="str">
        <f t="shared" si="121"/>
        <v/>
      </c>
    </row>
    <row r="427" spans="7:25" x14ac:dyDescent="0.25">
      <c r="G427" s="303">
        <f t="shared" si="118"/>
        <v>0</v>
      </c>
      <c r="H427" s="304">
        <f t="shared" si="122"/>
        <v>420</v>
      </c>
      <c r="I427" s="305" t="str">
        <f t="shared" si="124"/>
        <v/>
      </c>
      <c r="J427" s="305" t="str">
        <f t="shared" si="125"/>
        <v/>
      </c>
      <c r="K427" s="305" t="str">
        <f t="shared" si="126"/>
        <v/>
      </c>
      <c r="L427" s="305" t="str">
        <f t="shared" si="127"/>
        <v/>
      </c>
      <c r="M427" s="314" t="str">
        <f t="shared" si="128"/>
        <v/>
      </c>
      <c r="N427" s="305" t="str">
        <f t="shared" si="129"/>
        <v/>
      </c>
      <c r="O427" s="327" t="e">
        <f t="shared" si="120"/>
        <v>#NUM!</v>
      </c>
      <c r="P427" s="305"/>
      <c r="Q427" s="303">
        <f t="shared" si="119"/>
        <v>0</v>
      </c>
      <c r="R427" s="304">
        <f t="shared" si="123"/>
        <v>-320</v>
      </c>
      <c r="S427" s="305" t="str">
        <f t="shared" si="130"/>
        <v/>
      </c>
      <c r="T427" s="305" t="str">
        <f t="shared" si="131"/>
        <v/>
      </c>
      <c r="U427" s="305" t="str">
        <f t="shared" si="132"/>
        <v/>
      </c>
      <c r="V427" s="305" t="str">
        <f t="shared" si="133"/>
        <v/>
      </c>
      <c r="W427" s="314" t="str">
        <f t="shared" si="134"/>
        <v/>
      </c>
      <c r="X427" s="314" t="str">
        <f t="shared" si="135"/>
        <v/>
      </c>
      <c r="Y427" s="326" t="str">
        <f t="shared" si="121"/>
        <v/>
      </c>
    </row>
    <row r="428" spans="7:25" x14ac:dyDescent="0.25">
      <c r="G428" s="303">
        <f t="shared" si="118"/>
        <v>0</v>
      </c>
      <c r="H428" s="304">
        <f t="shared" si="122"/>
        <v>421</v>
      </c>
      <c r="I428" s="305" t="str">
        <f t="shared" si="124"/>
        <v/>
      </c>
      <c r="J428" s="305" t="str">
        <f t="shared" si="125"/>
        <v/>
      </c>
      <c r="K428" s="305" t="str">
        <f t="shared" si="126"/>
        <v/>
      </c>
      <c r="L428" s="305" t="str">
        <f t="shared" si="127"/>
        <v/>
      </c>
      <c r="M428" s="314" t="str">
        <f t="shared" si="128"/>
        <v/>
      </c>
      <c r="N428" s="305" t="str">
        <f t="shared" si="129"/>
        <v/>
      </c>
      <c r="O428" s="327" t="e">
        <f t="shared" si="120"/>
        <v>#NUM!</v>
      </c>
      <c r="P428" s="305"/>
      <c r="Q428" s="303">
        <f t="shared" si="119"/>
        <v>0</v>
      </c>
      <c r="R428" s="304">
        <f t="shared" si="123"/>
        <v>-321</v>
      </c>
      <c r="S428" s="305" t="str">
        <f t="shared" si="130"/>
        <v/>
      </c>
      <c r="T428" s="305" t="str">
        <f t="shared" si="131"/>
        <v/>
      </c>
      <c r="U428" s="305" t="str">
        <f t="shared" si="132"/>
        <v/>
      </c>
      <c r="V428" s="305" t="str">
        <f t="shared" si="133"/>
        <v/>
      </c>
      <c r="W428" s="314" t="str">
        <f t="shared" si="134"/>
        <v/>
      </c>
      <c r="X428" s="314" t="str">
        <f t="shared" si="135"/>
        <v/>
      </c>
      <c r="Y428" s="326" t="str">
        <f t="shared" si="121"/>
        <v/>
      </c>
    </row>
    <row r="429" spans="7:25" x14ac:dyDescent="0.25">
      <c r="G429" s="303">
        <f t="shared" si="118"/>
        <v>0</v>
      </c>
      <c r="H429" s="304">
        <f t="shared" si="122"/>
        <v>422</v>
      </c>
      <c r="I429" s="305" t="str">
        <f t="shared" si="124"/>
        <v/>
      </c>
      <c r="J429" s="305" t="str">
        <f t="shared" si="125"/>
        <v/>
      </c>
      <c r="K429" s="305" t="str">
        <f t="shared" si="126"/>
        <v/>
      </c>
      <c r="L429" s="305" t="str">
        <f t="shared" si="127"/>
        <v/>
      </c>
      <c r="M429" s="314" t="str">
        <f t="shared" si="128"/>
        <v/>
      </c>
      <c r="N429" s="305" t="str">
        <f t="shared" si="129"/>
        <v/>
      </c>
      <c r="O429" s="327" t="e">
        <f t="shared" si="120"/>
        <v>#NUM!</v>
      </c>
      <c r="P429" s="305"/>
      <c r="Q429" s="303">
        <f t="shared" si="119"/>
        <v>0</v>
      </c>
      <c r="R429" s="304">
        <f t="shared" si="123"/>
        <v>-322</v>
      </c>
      <c r="S429" s="305" t="str">
        <f t="shared" si="130"/>
        <v/>
      </c>
      <c r="T429" s="305" t="str">
        <f t="shared" si="131"/>
        <v/>
      </c>
      <c r="U429" s="305" t="str">
        <f t="shared" si="132"/>
        <v/>
      </c>
      <c r="V429" s="305" t="str">
        <f t="shared" si="133"/>
        <v/>
      </c>
      <c r="W429" s="314" t="str">
        <f t="shared" si="134"/>
        <v/>
      </c>
      <c r="X429" s="314" t="str">
        <f t="shared" si="135"/>
        <v/>
      </c>
      <c r="Y429" s="326" t="str">
        <f t="shared" si="121"/>
        <v/>
      </c>
    </row>
    <row r="430" spans="7:25" x14ac:dyDescent="0.25">
      <c r="G430" s="303">
        <f t="shared" si="118"/>
        <v>0</v>
      </c>
      <c r="H430" s="304">
        <f t="shared" si="122"/>
        <v>423</v>
      </c>
      <c r="I430" s="305" t="str">
        <f t="shared" si="124"/>
        <v/>
      </c>
      <c r="J430" s="305" t="str">
        <f t="shared" si="125"/>
        <v/>
      </c>
      <c r="K430" s="305" t="str">
        <f t="shared" si="126"/>
        <v/>
      </c>
      <c r="L430" s="305" t="str">
        <f t="shared" si="127"/>
        <v/>
      </c>
      <c r="M430" s="314" t="str">
        <f t="shared" si="128"/>
        <v/>
      </c>
      <c r="N430" s="305" t="str">
        <f t="shared" si="129"/>
        <v/>
      </c>
      <c r="O430" s="327" t="e">
        <f t="shared" si="120"/>
        <v>#NUM!</v>
      </c>
      <c r="P430" s="305"/>
      <c r="Q430" s="303">
        <f t="shared" si="119"/>
        <v>0</v>
      </c>
      <c r="R430" s="304">
        <f t="shared" si="123"/>
        <v>-323</v>
      </c>
      <c r="S430" s="305" t="str">
        <f t="shared" si="130"/>
        <v/>
      </c>
      <c r="T430" s="305" t="str">
        <f t="shared" si="131"/>
        <v/>
      </c>
      <c r="U430" s="305" t="str">
        <f t="shared" si="132"/>
        <v/>
      </c>
      <c r="V430" s="305" t="str">
        <f t="shared" si="133"/>
        <v/>
      </c>
      <c r="W430" s="314" t="str">
        <f t="shared" si="134"/>
        <v/>
      </c>
      <c r="X430" s="314" t="str">
        <f t="shared" si="135"/>
        <v/>
      </c>
      <c r="Y430" s="326" t="str">
        <f t="shared" si="121"/>
        <v/>
      </c>
    </row>
    <row r="431" spans="7:25" x14ac:dyDescent="0.25">
      <c r="G431" s="303">
        <f t="shared" si="118"/>
        <v>0</v>
      </c>
      <c r="H431" s="304">
        <f t="shared" si="122"/>
        <v>424</v>
      </c>
      <c r="I431" s="305" t="str">
        <f t="shared" si="124"/>
        <v/>
      </c>
      <c r="J431" s="305" t="str">
        <f t="shared" si="125"/>
        <v/>
      </c>
      <c r="K431" s="305" t="str">
        <f t="shared" si="126"/>
        <v/>
      </c>
      <c r="L431" s="305" t="str">
        <f t="shared" si="127"/>
        <v/>
      </c>
      <c r="M431" s="314" t="str">
        <f t="shared" si="128"/>
        <v/>
      </c>
      <c r="N431" s="305" t="str">
        <f t="shared" si="129"/>
        <v/>
      </c>
      <c r="O431" s="327" t="e">
        <f t="shared" si="120"/>
        <v>#NUM!</v>
      </c>
      <c r="P431" s="305"/>
      <c r="Q431" s="303">
        <f t="shared" si="119"/>
        <v>0</v>
      </c>
      <c r="R431" s="304">
        <f t="shared" si="123"/>
        <v>-324</v>
      </c>
      <c r="S431" s="305" t="str">
        <f t="shared" si="130"/>
        <v/>
      </c>
      <c r="T431" s="305" t="str">
        <f t="shared" si="131"/>
        <v/>
      </c>
      <c r="U431" s="305" t="str">
        <f t="shared" si="132"/>
        <v/>
      </c>
      <c r="V431" s="305" t="str">
        <f t="shared" si="133"/>
        <v/>
      </c>
      <c r="W431" s="314" t="str">
        <f t="shared" si="134"/>
        <v/>
      </c>
      <c r="X431" s="314" t="str">
        <f t="shared" si="135"/>
        <v/>
      </c>
      <c r="Y431" s="326" t="str">
        <f t="shared" si="121"/>
        <v/>
      </c>
    </row>
    <row r="432" spans="7:25" x14ac:dyDescent="0.25">
      <c r="G432" s="303">
        <f t="shared" si="118"/>
        <v>0</v>
      </c>
      <c r="H432" s="304">
        <f t="shared" si="122"/>
        <v>425</v>
      </c>
      <c r="I432" s="305" t="str">
        <f t="shared" si="124"/>
        <v/>
      </c>
      <c r="J432" s="305" t="str">
        <f t="shared" si="125"/>
        <v/>
      </c>
      <c r="K432" s="305" t="str">
        <f t="shared" si="126"/>
        <v/>
      </c>
      <c r="L432" s="305" t="str">
        <f t="shared" si="127"/>
        <v/>
      </c>
      <c r="M432" s="314" t="str">
        <f t="shared" si="128"/>
        <v/>
      </c>
      <c r="N432" s="305" t="str">
        <f t="shared" si="129"/>
        <v/>
      </c>
      <c r="O432" s="327" t="e">
        <f t="shared" si="120"/>
        <v>#NUM!</v>
      </c>
      <c r="P432" s="305"/>
      <c r="Q432" s="303">
        <f t="shared" si="119"/>
        <v>0</v>
      </c>
      <c r="R432" s="304">
        <f t="shared" si="123"/>
        <v>-325</v>
      </c>
      <c r="S432" s="305" t="str">
        <f t="shared" si="130"/>
        <v/>
      </c>
      <c r="T432" s="305" t="str">
        <f t="shared" si="131"/>
        <v/>
      </c>
      <c r="U432" s="305" t="str">
        <f t="shared" si="132"/>
        <v/>
      </c>
      <c r="V432" s="305" t="str">
        <f t="shared" si="133"/>
        <v/>
      </c>
      <c r="W432" s="314" t="str">
        <f t="shared" si="134"/>
        <v/>
      </c>
      <c r="X432" s="314" t="str">
        <f t="shared" si="135"/>
        <v/>
      </c>
      <c r="Y432" s="326" t="str">
        <f t="shared" si="121"/>
        <v/>
      </c>
    </row>
    <row r="433" spans="7:25" x14ac:dyDescent="0.25">
      <c r="G433" s="303">
        <f t="shared" si="118"/>
        <v>0</v>
      </c>
      <c r="H433" s="304">
        <f t="shared" si="122"/>
        <v>426</v>
      </c>
      <c r="I433" s="305" t="str">
        <f t="shared" si="124"/>
        <v/>
      </c>
      <c r="J433" s="305" t="str">
        <f t="shared" si="125"/>
        <v/>
      </c>
      <c r="K433" s="305" t="str">
        <f t="shared" si="126"/>
        <v/>
      </c>
      <c r="L433" s="305" t="str">
        <f t="shared" si="127"/>
        <v/>
      </c>
      <c r="M433" s="314" t="str">
        <f t="shared" si="128"/>
        <v/>
      </c>
      <c r="N433" s="305" t="str">
        <f t="shared" si="129"/>
        <v/>
      </c>
      <c r="O433" s="327" t="e">
        <f t="shared" si="120"/>
        <v>#NUM!</v>
      </c>
      <c r="P433" s="305"/>
      <c r="Q433" s="303">
        <f t="shared" si="119"/>
        <v>0</v>
      </c>
      <c r="R433" s="304">
        <f t="shared" si="123"/>
        <v>-326</v>
      </c>
      <c r="S433" s="305" t="str">
        <f t="shared" si="130"/>
        <v/>
      </c>
      <c r="T433" s="305" t="str">
        <f t="shared" si="131"/>
        <v/>
      </c>
      <c r="U433" s="305" t="str">
        <f t="shared" si="132"/>
        <v/>
      </c>
      <c r="V433" s="305" t="str">
        <f t="shared" si="133"/>
        <v/>
      </c>
      <c r="W433" s="314" t="str">
        <f t="shared" si="134"/>
        <v/>
      </c>
      <c r="X433" s="314" t="str">
        <f t="shared" si="135"/>
        <v/>
      </c>
      <c r="Y433" s="326" t="str">
        <f t="shared" si="121"/>
        <v/>
      </c>
    </row>
    <row r="434" spans="7:25" x14ac:dyDescent="0.25">
      <c r="G434" s="303">
        <f t="shared" si="118"/>
        <v>0</v>
      </c>
      <c r="H434" s="304">
        <f t="shared" si="122"/>
        <v>427</v>
      </c>
      <c r="I434" s="305" t="str">
        <f t="shared" si="124"/>
        <v/>
      </c>
      <c r="J434" s="305" t="str">
        <f t="shared" si="125"/>
        <v/>
      </c>
      <c r="K434" s="305" t="str">
        <f t="shared" si="126"/>
        <v/>
      </c>
      <c r="L434" s="305" t="str">
        <f t="shared" si="127"/>
        <v/>
      </c>
      <c r="M434" s="314" t="str">
        <f t="shared" si="128"/>
        <v/>
      </c>
      <c r="N434" s="305" t="str">
        <f t="shared" si="129"/>
        <v/>
      </c>
      <c r="O434" s="327" t="e">
        <f t="shared" si="120"/>
        <v>#NUM!</v>
      </c>
      <c r="P434" s="305"/>
      <c r="Q434" s="303">
        <f t="shared" si="119"/>
        <v>0</v>
      </c>
      <c r="R434" s="304">
        <f t="shared" si="123"/>
        <v>-327</v>
      </c>
      <c r="S434" s="305" t="str">
        <f t="shared" si="130"/>
        <v/>
      </c>
      <c r="T434" s="305" t="str">
        <f t="shared" si="131"/>
        <v/>
      </c>
      <c r="U434" s="305" t="str">
        <f t="shared" si="132"/>
        <v/>
      </c>
      <c r="V434" s="305" t="str">
        <f t="shared" si="133"/>
        <v/>
      </c>
      <c r="W434" s="314" t="str">
        <f t="shared" si="134"/>
        <v/>
      </c>
      <c r="X434" s="314" t="str">
        <f t="shared" si="135"/>
        <v/>
      </c>
      <c r="Y434" s="326" t="str">
        <f t="shared" si="121"/>
        <v/>
      </c>
    </row>
    <row r="435" spans="7:25" x14ac:dyDescent="0.25">
      <c r="G435" s="303">
        <f t="shared" si="118"/>
        <v>0</v>
      </c>
      <c r="H435" s="304">
        <f t="shared" si="122"/>
        <v>428</v>
      </c>
      <c r="I435" s="305" t="str">
        <f t="shared" si="124"/>
        <v/>
      </c>
      <c r="J435" s="305" t="str">
        <f t="shared" si="125"/>
        <v/>
      </c>
      <c r="K435" s="305" t="str">
        <f t="shared" si="126"/>
        <v/>
      </c>
      <c r="L435" s="305" t="str">
        <f t="shared" si="127"/>
        <v/>
      </c>
      <c r="M435" s="314" t="str">
        <f t="shared" si="128"/>
        <v/>
      </c>
      <c r="N435" s="305" t="str">
        <f t="shared" si="129"/>
        <v/>
      </c>
      <c r="O435" s="327" t="e">
        <f t="shared" si="120"/>
        <v>#NUM!</v>
      </c>
      <c r="P435" s="305"/>
      <c r="Q435" s="303">
        <f t="shared" si="119"/>
        <v>0</v>
      </c>
      <c r="R435" s="304">
        <f t="shared" si="123"/>
        <v>-328</v>
      </c>
      <c r="S435" s="305" t="str">
        <f t="shared" si="130"/>
        <v/>
      </c>
      <c r="T435" s="305" t="str">
        <f t="shared" si="131"/>
        <v/>
      </c>
      <c r="U435" s="305" t="str">
        <f t="shared" si="132"/>
        <v/>
      </c>
      <c r="V435" s="305" t="str">
        <f t="shared" si="133"/>
        <v/>
      </c>
      <c r="W435" s="314" t="str">
        <f t="shared" si="134"/>
        <v/>
      </c>
      <c r="X435" s="314" t="str">
        <f t="shared" si="135"/>
        <v/>
      </c>
      <c r="Y435" s="326" t="str">
        <f t="shared" si="121"/>
        <v/>
      </c>
    </row>
    <row r="436" spans="7:25" x14ac:dyDescent="0.25">
      <c r="G436" s="303">
        <f t="shared" si="118"/>
        <v>0</v>
      </c>
      <c r="H436" s="304">
        <f t="shared" si="122"/>
        <v>429</v>
      </c>
      <c r="I436" s="305" t="str">
        <f t="shared" si="124"/>
        <v/>
      </c>
      <c r="J436" s="305" t="str">
        <f t="shared" si="125"/>
        <v/>
      </c>
      <c r="K436" s="305" t="str">
        <f t="shared" si="126"/>
        <v/>
      </c>
      <c r="L436" s="305" t="str">
        <f t="shared" si="127"/>
        <v/>
      </c>
      <c r="M436" s="314" t="str">
        <f t="shared" si="128"/>
        <v/>
      </c>
      <c r="N436" s="305" t="str">
        <f t="shared" si="129"/>
        <v/>
      </c>
      <c r="O436" s="327" t="e">
        <f t="shared" si="120"/>
        <v>#NUM!</v>
      </c>
      <c r="P436" s="305"/>
      <c r="Q436" s="303">
        <f t="shared" si="119"/>
        <v>0</v>
      </c>
      <c r="R436" s="304">
        <f t="shared" si="123"/>
        <v>-329</v>
      </c>
      <c r="S436" s="305" t="str">
        <f t="shared" si="130"/>
        <v/>
      </c>
      <c r="T436" s="305" t="str">
        <f t="shared" si="131"/>
        <v/>
      </c>
      <c r="U436" s="305" t="str">
        <f t="shared" si="132"/>
        <v/>
      </c>
      <c r="V436" s="305" t="str">
        <f t="shared" si="133"/>
        <v/>
      </c>
      <c r="W436" s="314" t="str">
        <f t="shared" si="134"/>
        <v/>
      </c>
      <c r="X436" s="314" t="str">
        <f t="shared" si="135"/>
        <v/>
      </c>
      <c r="Y436" s="326" t="str">
        <f t="shared" si="121"/>
        <v/>
      </c>
    </row>
    <row r="437" spans="7:25" x14ac:dyDescent="0.25">
      <c r="G437" s="303">
        <f t="shared" si="118"/>
        <v>0</v>
      </c>
      <c r="H437" s="304">
        <f t="shared" si="122"/>
        <v>430</v>
      </c>
      <c r="I437" s="305" t="str">
        <f t="shared" si="124"/>
        <v/>
      </c>
      <c r="J437" s="305" t="str">
        <f t="shared" si="125"/>
        <v/>
      </c>
      <c r="K437" s="305" t="str">
        <f t="shared" si="126"/>
        <v/>
      </c>
      <c r="L437" s="305" t="str">
        <f t="shared" si="127"/>
        <v/>
      </c>
      <c r="M437" s="314" t="str">
        <f t="shared" si="128"/>
        <v/>
      </c>
      <c r="N437" s="305" t="str">
        <f t="shared" si="129"/>
        <v/>
      </c>
      <c r="O437" s="327" t="e">
        <f t="shared" si="120"/>
        <v>#NUM!</v>
      </c>
      <c r="P437" s="305"/>
      <c r="Q437" s="303">
        <f t="shared" si="119"/>
        <v>0</v>
      </c>
      <c r="R437" s="304">
        <f t="shared" si="123"/>
        <v>-330</v>
      </c>
      <c r="S437" s="305" t="str">
        <f t="shared" si="130"/>
        <v/>
      </c>
      <c r="T437" s="305" t="str">
        <f t="shared" si="131"/>
        <v/>
      </c>
      <c r="U437" s="305" t="str">
        <f t="shared" si="132"/>
        <v/>
      </c>
      <c r="V437" s="305" t="str">
        <f t="shared" si="133"/>
        <v/>
      </c>
      <c r="W437" s="314" t="str">
        <f t="shared" si="134"/>
        <v/>
      </c>
      <c r="X437" s="314" t="str">
        <f t="shared" si="135"/>
        <v/>
      </c>
      <c r="Y437" s="326" t="str">
        <f t="shared" si="121"/>
        <v/>
      </c>
    </row>
    <row r="438" spans="7:25" x14ac:dyDescent="0.25">
      <c r="G438" s="303">
        <f t="shared" si="118"/>
        <v>0</v>
      </c>
      <c r="H438" s="304">
        <f t="shared" si="122"/>
        <v>431</v>
      </c>
      <c r="I438" s="305" t="str">
        <f t="shared" si="124"/>
        <v/>
      </c>
      <c r="J438" s="305" t="str">
        <f t="shared" si="125"/>
        <v/>
      </c>
      <c r="K438" s="305" t="str">
        <f t="shared" si="126"/>
        <v/>
      </c>
      <c r="L438" s="305" t="str">
        <f t="shared" si="127"/>
        <v/>
      </c>
      <c r="M438" s="314" t="str">
        <f t="shared" si="128"/>
        <v/>
      </c>
      <c r="N438" s="305" t="str">
        <f t="shared" si="129"/>
        <v/>
      </c>
      <c r="O438" s="327" t="e">
        <f t="shared" si="120"/>
        <v>#NUM!</v>
      </c>
      <c r="P438" s="305"/>
      <c r="Q438" s="303">
        <f t="shared" si="119"/>
        <v>0</v>
      </c>
      <c r="R438" s="304">
        <f t="shared" si="123"/>
        <v>-331</v>
      </c>
      <c r="S438" s="305" t="str">
        <f t="shared" si="130"/>
        <v/>
      </c>
      <c r="T438" s="305" t="str">
        <f t="shared" si="131"/>
        <v/>
      </c>
      <c r="U438" s="305" t="str">
        <f t="shared" si="132"/>
        <v/>
      </c>
      <c r="V438" s="305" t="str">
        <f t="shared" si="133"/>
        <v/>
      </c>
      <c r="W438" s="314" t="str">
        <f t="shared" si="134"/>
        <v/>
      </c>
      <c r="X438" s="314" t="str">
        <f t="shared" si="135"/>
        <v/>
      </c>
      <c r="Y438" s="326" t="str">
        <f t="shared" si="121"/>
        <v/>
      </c>
    </row>
    <row r="439" spans="7:25" x14ac:dyDescent="0.25">
      <c r="G439" s="303">
        <f t="shared" si="118"/>
        <v>0</v>
      </c>
      <c r="H439" s="304">
        <f t="shared" si="122"/>
        <v>432</v>
      </c>
      <c r="I439" s="305" t="str">
        <f t="shared" si="124"/>
        <v/>
      </c>
      <c r="J439" s="305" t="str">
        <f t="shared" si="125"/>
        <v/>
      </c>
      <c r="K439" s="305" t="str">
        <f t="shared" si="126"/>
        <v/>
      </c>
      <c r="L439" s="305" t="str">
        <f t="shared" si="127"/>
        <v/>
      </c>
      <c r="M439" s="314" t="str">
        <f t="shared" si="128"/>
        <v/>
      </c>
      <c r="N439" s="305" t="str">
        <f t="shared" si="129"/>
        <v/>
      </c>
      <c r="O439" s="327" t="e">
        <f t="shared" si="120"/>
        <v>#NUM!</v>
      </c>
      <c r="P439" s="305"/>
      <c r="Q439" s="303">
        <f t="shared" si="119"/>
        <v>0</v>
      </c>
      <c r="R439" s="304">
        <f t="shared" si="123"/>
        <v>-332</v>
      </c>
      <c r="S439" s="305" t="str">
        <f t="shared" si="130"/>
        <v/>
      </c>
      <c r="T439" s="305" t="str">
        <f t="shared" si="131"/>
        <v/>
      </c>
      <c r="U439" s="305" t="str">
        <f t="shared" si="132"/>
        <v/>
      </c>
      <c r="V439" s="305" t="str">
        <f t="shared" si="133"/>
        <v/>
      </c>
      <c r="W439" s="314" t="str">
        <f t="shared" si="134"/>
        <v/>
      </c>
      <c r="X439" s="314" t="str">
        <f t="shared" si="135"/>
        <v/>
      </c>
      <c r="Y439" s="326" t="str">
        <f t="shared" si="121"/>
        <v/>
      </c>
    </row>
    <row r="440" spans="7:25" x14ac:dyDescent="0.25">
      <c r="G440" s="303">
        <f t="shared" si="118"/>
        <v>0</v>
      </c>
      <c r="H440" s="304">
        <f t="shared" si="122"/>
        <v>433</v>
      </c>
      <c r="I440" s="305" t="str">
        <f t="shared" si="124"/>
        <v/>
      </c>
      <c r="J440" s="305" t="str">
        <f t="shared" si="125"/>
        <v/>
      </c>
      <c r="K440" s="305" t="str">
        <f t="shared" si="126"/>
        <v/>
      </c>
      <c r="L440" s="305" t="str">
        <f t="shared" si="127"/>
        <v/>
      </c>
      <c r="M440" s="314" t="str">
        <f t="shared" si="128"/>
        <v/>
      </c>
      <c r="N440" s="305" t="str">
        <f t="shared" si="129"/>
        <v/>
      </c>
      <c r="O440" s="327" t="e">
        <f t="shared" si="120"/>
        <v>#NUM!</v>
      </c>
      <c r="P440" s="305"/>
      <c r="Q440" s="303">
        <f t="shared" si="119"/>
        <v>0</v>
      </c>
      <c r="R440" s="304">
        <f t="shared" si="123"/>
        <v>-333</v>
      </c>
      <c r="S440" s="305" t="str">
        <f t="shared" si="130"/>
        <v/>
      </c>
      <c r="T440" s="305" t="str">
        <f t="shared" si="131"/>
        <v/>
      </c>
      <c r="U440" s="305" t="str">
        <f t="shared" si="132"/>
        <v/>
      </c>
      <c r="V440" s="305" t="str">
        <f t="shared" si="133"/>
        <v/>
      </c>
      <c r="W440" s="314" t="str">
        <f t="shared" si="134"/>
        <v/>
      </c>
      <c r="X440" s="314" t="str">
        <f t="shared" si="135"/>
        <v/>
      </c>
      <c r="Y440" s="326" t="str">
        <f t="shared" si="121"/>
        <v/>
      </c>
    </row>
    <row r="441" spans="7:25" x14ac:dyDescent="0.25">
      <c r="G441" s="303">
        <f t="shared" si="118"/>
        <v>0</v>
      </c>
      <c r="H441" s="304">
        <f t="shared" si="122"/>
        <v>434</v>
      </c>
      <c r="I441" s="305" t="str">
        <f t="shared" si="124"/>
        <v/>
      </c>
      <c r="J441" s="305" t="str">
        <f t="shared" si="125"/>
        <v/>
      </c>
      <c r="K441" s="305" t="str">
        <f t="shared" si="126"/>
        <v/>
      </c>
      <c r="L441" s="305" t="str">
        <f t="shared" si="127"/>
        <v/>
      </c>
      <c r="M441" s="314" t="str">
        <f t="shared" si="128"/>
        <v/>
      </c>
      <c r="N441" s="305" t="str">
        <f t="shared" si="129"/>
        <v/>
      </c>
      <c r="O441" s="327" t="e">
        <f t="shared" si="120"/>
        <v>#NUM!</v>
      </c>
      <c r="P441" s="305"/>
      <c r="Q441" s="303">
        <f t="shared" si="119"/>
        <v>0</v>
      </c>
      <c r="R441" s="304">
        <f t="shared" si="123"/>
        <v>-334</v>
      </c>
      <c r="S441" s="305" t="str">
        <f t="shared" si="130"/>
        <v/>
      </c>
      <c r="T441" s="305" t="str">
        <f t="shared" si="131"/>
        <v/>
      </c>
      <c r="U441" s="305" t="str">
        <f t="shared" si="132"/>
        <v/>
      </c>
      <c r="V441" s="305" t="str">
        <f t="shared" si="133"/>
        <v/>
      </c>
      <c r="W441" s="314" t="str">
        <f t="shared" si="134"/>
        <v/>
      </c>
      <c r="X441" s="314" t="str">
        <f t="shared" si="135"/>
        <v/>
      </c>
      <c r="Y441" s="326" t="str">
        <f t="shared" si="121"/>
        <v/>
      </c>
    </row>
    <row r="442" spans="7:25" x14ac:dyDescent="0.25">
      <c r="G442" s="303">
        <f t="shared" si="118"/>
        <v>0</v>
      </c>
      <c r="H442" s="304">
        <f t="shared" si="122"/>
        <v>435</v>
      </c>
      <c r="I442" s="305" t="str">
        <f t="shared" si="124"/>
        <v/>
      </c>
      <c r="J442" s="305" t="str">
        <f t="shared" si="125"/>
        <v/>
      </c>
      <c r="K442" s="305" t="str">
        <f t="shared" si="126"/>
        <v/>
      </c>
      <c r="L442" s="305" t="str">
        <f t="shared" si="127"/>
        <v/>
      </c>
      <c r="M442" s="314" t="str">
        <f t="shared" si="128"/>
        <v/>
      </c>
      <c r="N442" s="305" t="str">
        <f t="shared" si="129"/>
        <v/>
      </c>
      <c r="O442" s="327" t="e">
        <f t="shared" si="120"/>
        <v>#NUM!</v>
      </c>
      <c r="P442" s="305"/>
      <c r="Q442" s="303">
        <f t="shared" si="119"/>
        <v>0</v>
      </c>
      <c r="R442" s="304">
        <f t="shared" si="123"/>
        <v>-335</v>
      </c>
      <c r="S442" s="305" t="str">
        <f t="shared" si="130"/>
        <v/>
      </c>
      <c r="T442" s="305" t="str">
        <f t="shared" si="131"/>
        <v/>
      </c>
      <c r="U442" s="305" t="str">
        <f t="shared" si="132"/>
        <v/>
      </c>
      <c r="V442" s="305" t="str">
        <f t="shared" si="133"/>
        <v/>
      </c>
      <c r="W442" s="314" t="str">
        <f t="shared" si="134"/>
        <v/>
      </c>
      <c r="X442" s="314" t="str">
        <f t="shared" si="135"/>
        <v/>
      </c>
      <c r="Y442" s="326" t="str">
        <f t="shared" si="121"/>
        <v/>
      </c>
    </row>
    <row r="443" spans="7:25" x14ac:dyDescent="0.25">
      <c r="G443" s="303">
        <f t="shared" si="118"/>
        <v>0</v>
      </c>
      <c r="H443" s="304">
        <f t="shared" si="122"/>
        <v>436</v>
      </c>
      <c r="I443" s="305" t="str">
        <f t="shared" si="124"/>
        <v/>
      </c>
      <c r="J443" s="305" t="str">
        <f t="shared" si="125"/>
        <v/>
      </c>
      <c r="K443" s="305" t="str">
        <f t="shared" si="126"/>
        <v/>
      </c>
      <c r="L443" s="305" t="str">
        <f t="shared" si="127"/>
        <v/>
      </c>
      <c r="M443" s="314" t="str">
        <f t="shared" si="128"/>
        <v/>
      </c>
      <c r="N443" s="305" t="str">
        <f t="shared" si="129"/>
        <v/>
      </c>
      <c r="O443" s="327" t="e">
        <f t="shared" si="120"/>
        <v>#NUM!</v>
      </c>
      <c r="P443" s="305"/>
      <c r="Q443" s="303">
        <f t="shared" si="119"/>
        <v>0</v>
      </c>
      <c r="R443" s="304">
        <f t="shared" si="123"/>
        <v>-336</v>
      </c>
      <c r="S443" s="305" t="str">
        <f t="shared" si="130"/>
        <v/>
      </c>
      <c r="T443" s="305" t="str">
        <f t="shared" si="131"/>
        <v/>
      </c>
      <c r="U443" s="305" t="str">
        <f t="shared" si="132"/>
        <v/>
      </c>
      <c r="V443" s="305" t="str">
        <f t="shared" si="133"/>
        <v/>
      </c>
      <c r="W443" s="314" t="str">
        <f t="shared" si="134"/>
        <v/>
      </c>
      <c r="X443" s="314" t="str">
        <f t="shared" si="135"/>
        <v/>
      </c>
      <c r="Y443" s="326" t="str">
        <f t="shared" si="121"/>
        <v/>
      </c>
    </row>
    <row r="444" spans="7:25" x14ac:dyDescent="0.25">
      <c r="G444" s="303">
        <f t="shared" si="118"/>
        <v>0</v>
      </c>
      <c r="H444" s="304">
        <f t="shared" si="122"/>
        <v>437</v>
      </c>
      <c r="I444" s="305" t="str">
        <f t="shared" si="124"/>
        <v/>
      </c>
      <c r="J444" s="305" t="str">
        <f t="shared" si="125"/>
        <v/>
      </c>
      <c r="K444" s="305" t="str">
        <f t="shared" si="126"/>
        <v/>
      </c>
      <c r="L444" s="305" t="str">
        <f t="shared" si="127"/>
        <v/>
      </c>
      <c r="M444" s="314" t="str">
        <f t="shared" si="128"/>
        <v/>
      </c>
      <c r="N444" s="305" t="str">
        <f t="shared" si="129"/>
        <v/>
      </c>
      <c r="O444" s="327" t="e">
        <f t="shared" si="120"/>
        <v>#NUM!</v>
      </c>
      <c r="P444" s="305"/>
      <c r="Q444" s="303">
        <f t="shared" si="119"/>
        <v>0</v>
      </c>
      <c r="R444" s="304">
        <f t="shared" si="123"/>
        <v>-337</v>
      </c>
      <c r="S444" s="305" t="str">
        <f t="shared" si="130"/>
        <v/>
      </c>
      <c r="T444" s="305" t="str">
        <f t="shared" si="131"/>
        <v/>
      </c>
      <c r="U444" s="305" t="str">
        <f t="shared" si="132"/>
        <v/>
      </c>
      <c r="V444" s="305" t="str">
        <f t="shared" si="133"/>
        <v/>
      </c>
      <c r="W444" s="314" t="str">
        <f t="shared" si="134"/>
        <v/>
      </c>
      <c r="X444" s="314" t="str">
        <f t="shared" si="135"/>
        <v/>
      </c>
      <c r="Y444" s="326" t="str">
        <f t="shared" si="121"/>
        <v/>
      </c>
    </row>
    <row r="445" spans="7:25" x14ac:dyDescent="0.25">
      <c r="G445" s="303">
        <f t="shared" si="118"/>
        <v>0</v>
      </c>
      <c r="H445" s="304">
        <f t="shared" si="122"/>
        <v>438</v>
      </c>
      <c r="I445" s="305" t="str">
        <f t="shared" si="124"/>
        <v/>
      </c>
      <c r="J445" s="305" t="str">
        <f t="shared" si="125"/>
        <v/>
      </c>
      <c r="K445" s="305" t="str">
        <f t="shared" si="126"/>
        <v/>
      </c>
      <c r="L445" s="305" t="str">
        <f t="shared" si="127"/>
        <v/>
      </c>
      <c r="M445" s="314" t="str">
        <f t="shared" si="128"/>
        <v/>
      </c>
      <c r="N445" s="305" t="str">
        <f t="shared" si="129"/>
        <v/>
      </c>
      <c r="O445" s="327" t="e">
        <f t="shared" si="120"/>
        <v>#NUM!</v>
      </c>
      <c r="P445" s="305"/>
      <c r="Q445" s="303">
        <f t="shared" si="119"/>
        <v>0</v>
      </c>
      <c r="R445" s="304">
        <f t="shared" si="123"/>
        <v>-338</v>
      </c>
      <c r="S445" s="305" t="str">
        <f t="shared" si="130"/>
        <v/>
      </c>
      <c r="T445" s="305" t="str">
        <f t="shared" si="131"/>
        <v/>
      </c>
      <c r="U445" s="305" t="str">
        <f t="shared" si="132"/>
        <v/>
      </c>
      <c r="V445" s="305" t="str">
        <f t="shared" si="133"/>
        <v/>
      </c>
      <c r="W445" s="314" t="str">
        <f t="shared" si="134"/>
        <v/>
      </c>
      <c r="X445" s="314" t="str">
        <f t="shared" si="135"/>
        <v/>
      </c>
      <c r="Y445" s="326" t="str">
        <f t="shared" si="121"/>
        <v/>
      </c>
    </row>
    <row r="446" spans="7:25" x14ac:dyDescent="0.25">
      <c r="G446" s="303">
        <f t="shared" si="118"/>
        <v>0</v>
      </c>
      <c r="H446" s="304">
        <f t="shared" si="122"/>
        <v>439</v>
      </c>
      <c r="I446" s="305" t="str">
        <f t="shared" si="124"/>
        <v/>
      </c>
      <c r="J446" s="305" t="str">
        <f t="shared" si="125"/>
        <v/>
      </c>
      <c r="K446" s="305" t="str">
        <f t="shared" si="126"/>
        <v/>
      </c>
      <c r="L446" s="305" t="str">
        <f t="shared" si="127"/>
        <v/>
      </c>
      <c r="M446" s="314" t="str">
        <f t="shared" si="128"/>
        <v/>
      </c>
      <c r="N446" s="305" t="str">
        <f t="shared" si="129"/>
        <v/>
      </c>
      <c r="O446" s="327" t="e">
        <f t="shared" si="120"/>
        <v>#NUM!</v>
      </c>
      <c r="P446" s="305"/>
      <c r="Q446" s="303">
        <f t="shared" si="119"/>
        <v>0</v>
      </c>
      <c r="R446" s="304">
        <f t="shared" si="123"/>
        <v>-339</v>
      </c>
      <c r="S446" s="305" t="str">
        <f t="shared" si="130"/>
        <v/>
      </c>
      <c r="T446" s="305" t="str">
        <f t="shared" si="131"/>
        <v/>
      </c>
      <c r="U446" s="305" t="str">
        <f t="shared" si="132"/>
        <v/>
      </c>
      <c r="V446" s="305" t="str">
        <f t="shared" si="133"/>
        <v/>
      </c>
      <c r="W446" s="314" t="str">
        <f t="shared" si="134"/>
        <v/>
      </c>
      <c r="X446" s="314" t="str">
        <f t="shared" si="135"/>
        <v/>
      </c>
      <c r="Y446" s="326" t="str">
        <f t="shared" si="121"/>
        <v/>
      </c>
    </row>
    <row r="447" spans="7:25" x14ac:dyDescent="0.25">
      <c r="G447" s="303">
        <f t="shared" si="118"/>
        <v>0</v>
      </c>
      <c r="H447" s="304">
        <f t="shared" si="122"/>
        <v>440</v>
      </c>
      <c r="I447" s="305" t="str">
        <f t="shared" si="124"/>
        <v/>
      </c>
      <c r="J447" s="305" t="str">
        <f t="shared" si="125"/>
        <v/>
      </c>
      <c r="K447" s="305" t="str">
        <f t="shared" si="126"/>
        <v/>
      </c>
      <c r="L447" s="305" t="str">
        <f t="shared" si="127"/>
        <v/>
      </c>
      <c r="M447" s="314" t="str">
        <f t="shared" si="128"/>
        <v/>
      </c>
      <c r="N447" s="305" t="str">
        <f t="shared" si="129"/>
        <v/>
      </c>
      <c r="O447" s="327" t="e">
        <f t="shared" si="120"/>
        <v>#NUM!</v>
      </c>
      <c r="P447" s="305"/>
      <c r="Q447" s="303">
        <f t="shared" si="119"/>
        <v>0</v>
      </c>
      <c r="R447" s="304">
        <f t="shared" si="123"/>
        <v>-340</v>
      </c>
      <c r="S447" s="305" t="str">
        <f t="shared" si="130"/>
        <v/>
      </c>
      <c r="T447" s="305" t="str">
        <f t="shared" si="131"/>
        <v/>
      </c>
      <c r="U447" s="305" t="str">
        <f t="shared" si="132"/>
        <v/>
      </c>
      <c r="V447" s="305" t="str">
        <f t="shared" si="133"/>
        <v/>
      </c>
      <c r="W447" s="314" t="str">
        <f t="shared" si="134"/>
        <v/>
      </c>
      <c r="X447" s="314" t="str">
        <f t="shared" si="135"/>
        <v/>
      </c>
      <c r="Y447" s="326" t="str">
        <f t="shared" si="121"/>
        <v/>
      </c>
    </row>
    <row r="448" spans="7:25" x14ac:dyDescent="0.25">
      <c r="G448" s="303">
        <f t="shared" si="118"/>
        <v>0</v>
      </c>
      <c r="H448" s="304">
        <f t="shared" si="122"/>
        <v>441</v>
      </c>
      <c r="I448" s="305" t="str">
        <f t="shared" si="124"/>
        <v/>
      </c>
      <c r="J448" s="305" t="str">
        <f t="shared" si="125"/>
        <v/>
      </c>
      <c r="K448" s="305" t="str">
        <f t="shared" si="126"/>
        <v/>
      </c>
      <c r="L448" s="305" t="str">
        <f t="shared" si="127"/>
        <v/>
      </c>
      <c r="M448" s="314" t="str">
        <f t="shared" si="128"/>
        <v/>
      </c>
      <c r="N448" s="305" t="str">
        <f t="shared" si="129"/>
        <v/>
      </c>
      <c r="O448" s="327" t="e">
        <f t="shared" si="120"/>
        <v>#NUM!</v>
      </c>
      <c r="P448" s="305"/>
      <c r="Q448" s="303">
        <f t="shared" si="119"/>
        <v>0</v>
      </c>
      <c r="R448" s="304">
        <f t="shared" si="123"/>
        <v>-341</v>
      </c>
      <c r="S448" s="305" t="str">
        <f t="shared" si="130"/>
        <v/>
      </c>
      <c r="T448" s="305" t="str">
        <f t="shared" si="131"/>
        <v/>
      </c>
      <c r="U448" s="305" t="str">
        <f t="shared" si="132"/>
        <v/>
      </c>
      <c r="V448" s="305" t="str">
        <f t="shared" si="133"/>
        <v/>
      </c>
      <c r="W448" s="314" t="str">
        <f t="shared" si="134"/>
        <v/>
      </c>
      <c r="X448" s="314" t="str">
        <f t="shared" si="135"/>
        <v/>
      </c>
      <c r="Y448" s="326" t="str">
        <f t="shared" si="121"/>
        <v/>
      </c>
    </row>
    <row r="449" spans="7:25" x14ac:dyDescent="0.25">
      <c r="G449" s="303">
        <f t="shared" si="118"/>
        <v>0</v>
      </c>
      <c r="H449" s="304">
        <f t="shared" si="122"/>
        <v>442</v>
      </c>
      <c r="I449" s="305" t="str">
        <f t="shared" si="124"/>
        <v/>
      </c>
      <c r="J449" s="305" t="str">
        <f t="shared" si="125"/>
        <v/>
      </c>
      <c r="K449" s="305" t="str">
        <f t="shared" si="126"/>
        <v/>
      </c>
      <c r="L449" s="305" t="str">
        <f t="shared" si="127"/>
        <v/>
      </c>
      <c r="M449" s="314" t="str">
        <f t="shared" si="128"/>
        <v/>
      </c>
      <c r="N449" s="305" t="str">
        <f t="shared" si="129"/>
        <v/>
      </c>
      <c r="O449" s="327" t="e">
        <f t="shared" si="120"/>
        <v>#NUM!</v>
      </c>
      <c r="P449" s="305"/>
      <c r="Q449" s="303">
        <f t="shared" si="119"/>
        <v>0</v>
      </c>
      <c r="R449" s="304">
        <f t="shared" si="123"/>
        <v>-342</v>
      </c>
      <c r="S449" s="305" t="str">
        <f t="shared" si="130"/>
        <v/>
      </c>
      <c r="T449" s="305" t="str">
        <f t="shared" si="131"/>
        <v/>
      </c>
      <c r="U449" s="305" t="str">
        <f t="shared" si="132"/>
        <v/>
      </c>
      <c r="V449" s="305" t="str">
        <f t="shared" si="133"/>
        <v/>
      </c>
      <c r="W449" s="314" t="str">
        <f t="shared" si="134"/>
        <v/>
      </c>
      <c r="X449" s="314" t="str">
        <f t="shared" si="135"/>
        <v/>
      </c>
      <c r="Y449" s="326" t="str">
        <f t="shared" si="121"/>
        <v/>
      </c>
    </row>
    <row r="450" spans="7:25" x14ac:dyDescent="0.25">
      <c r="G450" s="303">
        <f t="shared" si="118"/>
        <v>0</v>
      </c>
      <c r="H450" s="304">
        <f t="shared" si="122"/>
        <v>443</v>
      </c>
      <c r="I450" s="305" t="str">
        <f t="shared" si="124"/>
        <v/>
      </c>
      <c r="J450" s="305" t="str">
        <f t="shared" si="125"/>
        <v/>
      </c>
      <c r="K450" s="305" t="str">
        <f t="shared" si="126"/>
        <v/>
      </c>
      <c r="L450" s="305" t="str">
        <f t="shared" si="127"/>
        <v/>
      </c>
      <c r="M450" s="314" t="str">
        <f t="shared" si="128"/>
        <v/>
      </c>
      <c r="N450" s="305" t="str">
        <f t="shared" si="129"/>
        <v/>
      </c>
      <c r="O450" s="327" t="e">
        <f t="shared" si="120"/>
        <v>#NUM!</v>
      </c>
      <c r="P450" s="305"/>
      <c r="Q450" s="303">
        <f t="shared" si="119"/>
        <v>0</v>
      </c>
      <c r="R450" s="304">
        <f t="shared" si="123"/>
        <v>-343</v>
      </c>
      <c r="S450" s="305" t="str">
        <f t="shared" si="130"/>
        <v/>
      </c>
      <c r="T450" s="305" t="str">
        <f t="shared" si="131"/>
        <v/>
      </c>
      <c r="U450" s="305" t="str">
        <f t="shared" si="132"/>
        <v/>
      </c>
      <c r="V450" s="305" t="str">
        <f t="shared" si="133"/>
        <v/>
      </c>
      <c r="W450" s="314" t="str">
        <f t="shared" si="134"/>
        <v/>
      </c>
      <c r="X450" s="314" t="str">
        <f t="shared" si="135"/>
        <v/>
      </c>
      <c r="Y450" s="326" t="str">
        <f t="shared" si="121"/>
        <v/>
      </c>
    </row>
    <row r="451" spans="7:25" x14ac:dyDescent="0.25">
      <c r="G451" s="303">
        <f t="shared" si="118"/>
        <v>0</v>
      </c>
      <c r="H451" s="304">
        <f t="shared" si="122"/>
        <v>444</v>
      </c>
      <c r="I451" s="305" t="str">
        <f t="shared" si="124"/>
        <v/>
      </c>
      <c r="J451" s="305" t="str">
        <f t="shared" si="125"/>
        <v/>
      </c>
      <c r="K451" s="305" t="str">
        <f t="shared" si="126"/>
        <v/>
      </c>
      <c r="L451" s="305" t="str">
        <f t="shared" si="127"/>
        <v/>
      </c>
      <c r="M451" s="314" t="str">
        <f t="shared" si="128"/>
        <v/>
      </c>
      <c r="N451" s="305" t="str">
        <f t="shared" si="129"/>
        <v/>
      </c>
      <c r="O451" s="327" t="e">
        <f t="shared" si="120"/>
        <v>#NUM!</v>
      </c>
      <c r="P451" s="305"/>
      <c r="Q451" s="303">
        <f t="shared" si="119"/>
        <v>0</v>
      </c>
      <c r="R451" s="304">
        <f t="shared" si="123"/>
        <v>-344</v>
      </c>
      <c r="S451" s="305" t="str">
        <f t="shared" si="130"/>
        <v/>
      </c>
      <c r="T451" s="305" t="str">
        <f t="shared" si="131"/>
        <v/>
      </c>
      <c r="U451" s="305" t="str">
        <f t="shared" si="132"/>
        <v/>
      </c>
      <c r="V451" s="305" t="str">
        <f t="shared" si="133"/>
        <v/>
      </c>
      <c r="W451" s="314" t="str">
        <f t="shared" si="134"/>
        <v/>
      </c>
      <c r="X451" s="314" t="str">
        <f t="shared" si="135"/>
        <v/>
      </c>
      <c r="Y451" s="326" t="str">
        <f t="shared" si="121"/>
        <v/>
      </c>
    </row>
    <row r="452" spans="7:25" x14ac:dyDescent="0.25">
      <c r="G452" s="303">
        <f t="shared" si="118"/>
        <v>0</v>
      </c>
      <c r="H452" s="304">
        <f t="shared" si="122"/>
        <v>445</v>
      </c>
      <c r="I452" s="305" t="str">
        <f t="shared" si="124"/>
        <v/>
      </c>
      <c r="J452" s="305" t="str">
        <f t="shared" si="125"/>
        <v/>
      </c>
      <c r="K452" s="305" t="str">
        <f t="shared" si="126"/>
        <v/>
      </c>
      <c r="L452" s="305" t="str">
        <f t="shared" si="127"/>
        <v/>
      </c>
      <c r="M452" s="314" t="str">
        <f t="shared" si="128"/>
        <v/>
      </c>
      <c r="N452" s="305" t="str">
        <f t="shared" si="129"/>
        <v/>
      </c>
      <c r="O452" s="327" t="e">
        <f t="shared" si="120"/>
        <v>#NUM!</v>
      </c>
      <c r="P452" s="305"/>
      <c r="Q452" s="303">
        <f t="shared" si="119"/>
        <v>0</v>
      </c>
      <c r="R452" s="304">
        <f t="shared" si="123"/>
        <v>-345</v>
      </c>
      <c r="S452" s="305" t="str">
        <f t="shared" si="130"/>
        <v/>
      </c>
      <c r="T452" s="305" t="str">
        <f t="shared" si="131"/>
        <v/>
      </c>
      <c r="U452" s="305" t="str">
        <f t="shared" si="132"/>
        <v/>
      </c>
      <c r="V452" s="305" t="str">
        <f t="shared" si="133"/>
        <v/>
      </c>
      <c r="W452" s="314" t="str">
        <f t="shared" si="134"/>
        <v/>
      </c>
      <c r="X452" s="314" t="str">
        <f t="shared" si="135"/>
        <v/>
      </c>
      <c r="Y452" s="326" t="str">
        <f t="shared" si="121"/>
        <v/>
      </c>
    </row>
    <row r="453" spans="7:25" x14ac:dyDescent="0.25">
      <c r="G453" s="303">
        <f t="shared" si="118"/>
        <v>0</v>
      </c>
      <c r="H453" s="304">
        <f t="shared" si="122"/>
        <v>446</v>
      </c>
      <c r="I453" s="305" t="str">
        <f t="shared" si="124"/>
        <v/>
      </c>
      <c r="J453" s="305" t="str">
        <f t="shared" si="125"/>
        <v/>
      </c>
      <c r="K453" s="305" t="str">
        <f t="shared" si="126"/>
        <v/>
      </c>
      <c r="L453" s="305" t="str">
        <f t="shared" si="127"/>
        <v/>
      </c>
      <c r="M453" s="314" t="str">
        <f t="shared" si="128"/>
        <v/>
      </c>
      <c r="N453" s="305" t="str">
        <f t="shared" si="129"/>
        <v/>
      </c>
      <c r="O453" s="327" t="e">
        <f t="shared" si="120"/>
        <v>#NUM!</v>
      </c>
      <c r="P453" s="305"/>
      <c r="Q453" s="303">
        <f t="shared" si="119"/>
        <v>0</v>
      </c>
      <c r="R453" s="304">
        <f t="shared" si="123"/>
        <v>-346</v>
      </c>
      <c r="S453" s="305" t="str">
        <f t="shared" si="130"/>
        <v/>
      </c>
      <c r="T453" s="305" t="str">
        <f t="shared" si="131"/>
        <v/>
      </c>
      <c r="U453" s="305" t="str">
        <f t="shared" si="132"/>
        <v/>
      </c>
      <c r="V453" s="305" t="str">
        <f t="shared" si="133"/>
        <v/>
      </c>
      <c r="W453" s="314" t="str">
        <f t="shared" si="134"/>
        <v/>
      </c>
      <c r="X453" s="314" t="str">
        <f t="shared" si="135"/>
        <v/>
      </c>
      <c r="Y453" s="326" t="str">
        <f t="shared" si="121"/>
        <v/>
      </c>
    </row>
    <row r="454" spans="7:25" x14ac:dyDescent="0.25">
      <c r="G454" s="303">
        <f t="shared" si="118"/>
        <v>0</v>
      </c>
      <c r="H454" s="304">
        <f t="shared" si="122"/>
        <v>447</v>
      </c>
      <c r="I454" s="305" t="str">
        <f t="shared" si="124"/>
        <v/>
      </c>
      <c r="J454" s="305" t="str">
        <f t="shared" si="125"/>
        <v/>
      </c>
      <c r="K454" s="305" t="str">
        <f t="shared" si="126"/>
        <v/>
      </c>
      <c r="L454" s="305" t="str">
        <f t="shared" si="127"/>
        <v/>
      </c>
      <c r="M454" s="314" t="str">
        <f t="shared" si="128"/>
        <v/>
      </c>
      <c r="N454" s="305" t="str">
        <f t="shared" si="129"/>
        <v/>
      </c>
      <c r="O454" s="327" t="e">
        <f t="shared" si="120"/>
        <v>#NUM!</v>
      </c>
      <c r="P454" s="305"/>
      <c r="Q454" s="303">
        <f t="shared" si="119"/>
        <v>0</v>
      </c>
      <c r="R454" s="304">
        <f t="shared" si="123"/>
        <v>-347</v>
      </c>
      <c r="S454" s="305" t="str">
        <f t="shared" si="130"/>
        <v/>
      </c>
      <c r="T454" s="305" t="str">
        <f t="shared" si="131"/>
        <v/>
      </c>
      <c r="U454" s="305" t="str">
        <f t="shared" si="132"/>
        <v/>
      </c>
      <c r="V454" s="305" t="str">
        <f t="shared" si="133"/>
        <v/>
      </c>
      <c r="W454" s="314" t="str">
        <f t="shared" si="134"/>
        <v/>
      </c>
      <c r="X454" s="314" t="str">
        <f t="shared" si="135"/>
        <v/>
      </c>
      <c r="Y454" s="326" t="str">
        <f t="shared" si="121"/>
        <v/>
      </c>
    </row>
    <row r="455" spans="7:25" x14ac:dyDescent="0.25">
      <c r="G455" s="303">
        <f t="shared" ref="G455:G518" si="136">IF(H455&lt;=$C$16,1,0)</f>
        <v>0</v>
      </c>
      <c r="H455" s="304">
        <f t="shared" si="122"/>
        <v>448</v>
      </c>
      <c r="I455" s="305" t="str">
        <f t="shared" si="124"/>
        <v/>
      </c>
      <c r="J455" s="305" t="str">
        <f t="shared" si="125"/>
        <v/>
      </c>
      <c r="K455" s="305" t="str">
        <f t="shared" si="126"/>
        <v/>
      </c>
      <c r="L455" s="305" t="str">
        <f t="shared" si="127"/>
        <v/>
      </c>
      <c r="M455" s="314" t="str">
        <f t="shared" si="128"/>
        <v/>
      </c>
      <c r="N455" s="305" t="str">
        <f t="shared" si="129"/>
        <v/>
      </c>
      <c r="O455" s="327" t="e">
        <f t="shared" si="120"/>
        <v>#NUM!</v>
      </c>
      <c r="P455" s="305"/>
      <c r="Q455" s="303">
        <f t="shared" ref="Q455:Q518" si="137">IF(R455&gt;=$C$16,1,0)</f>
        <v>0</v>
      </c>
      <c r="R455" s="304">
        <f t="shared" si="123"/>
        <v>-348</v>
      </c>
      <c r="S455" s="305" t="str">
        <f t="shared" si="130"/>
        <v/>
      </c>
      <c r="T455" s="305" t="str">
        <f t="shared" si="131"/>
        <v/>
      </c>
      <c r="U455" s="305" t="str">
        <f t="shared" si="132"/>
        <v/>
      </c>
      <c r="V455" s="305" t="str">
        <f t="shared" si="133"/>
        <v/>
      </c>
      <c r="W455" s="314" t="str">
        <f t="shared" si="134"/>
        <v/>
      </c>
      <c r="X455" s="314" t="str">
        <f t="shared" si="135"/>
        <v/>
      </c>
      <c r="Y455" s="326" t="str">
        <f t="shared" si="121"/>
        <v/>
      </c>
    </row>
    <row r="456" spans="7:25" x14ac:dyDescent="0.25">
      <c r="G456" s="303">
        <f t="shared" si="136"/>
        <v>0</v>
      </c>
      <c r="H456" s="304">
        <f t="shared" si="122"/>
        <v>449</v>
      </c>
      <c r="I456" s="305" t="str">
        <f t="shared" si="124"/>
        <v/>
      </c>
      <c r="J456" s="305" t="str">
        <f t="shared" si="125"/>
        <v/>
      </c>
      <c r="K456" s="305" t="str">
        <f t="shared" si="126"/>
        <v/>
      </c>
      <c r="L456" s="305" t="str">
        <f t="shared" si="127"/>
        <v/>
      </c>
      <c r="M456" s="314" t="str">
        <f t="shared" si="128"/>
        <v/>
      </c>
      <c r="N456" s="305" t="str">
        <f t="shared" si="129"/>
        <v/>
      </c>
      <c r="O456" s="327" t="e">
        <f t="shared" ref="O456:O519" si="138">IF($C$15=1,IF(AND(O455&lt;=$C$17,M456&lt;=$C$17),M456,""),"")</f>
        <v>#NUM!</v>
      </c>
      <c r="P456" s="305"/>
      <c r="Q456" s="303">
        <f t="shared" si="137"/>
        <v>0</v>
      </c>
      <c r="R456" s="304">
        <f t="shared" si="123"/>
        <v>-349</v>
      </c>
      <c r="S456" s="305" t="str">
        <f t="shared" si="130"/>
        <v/>
      </c>
      <c r="T456" s="305" t="str">
        <f t="shared" si="131"/>
        <v/>
      </c>
      <c r="U456" s="305" t="str">
        <f t="shared" si="132"/>
        <v/>
      </c>
      <c r="V456" s="305" t="str">
        <f t="shared" si="133"/>
        <v/>
      </c>
      <c r="W456" s="314" t="str">
        <f t="shared" si="134"/>
        <v/>
      </c>
      <c r="X456" s="314" t="str">
        <f t="shared" si="135"/>
        <v/>
      </c>
      <c r="Y456" s="326" t="str">
        <f t="shared" ref="Y456:Y519" si="139">IF($C$15=-1,IF(AND(Y455&lt;=$C$17,W456&lt;=$C$17),M456,""),"")</f>
        <v/>
      </c>
    </row>
    <row r="457" spans="7:25" x14ac:dyDescent="0.25">
      <c r="G457" s="303">
        <f t="shared" si="136"/>
        <v>0</v>
      </c>
      <c r="H457" s="304">
        <f t="shared" ref="H457:H520" si="140">H456+1</f>
        <v>450</v>
      </c>
      <c r="I457" s="305" t="str">
        <f t="shared" si="124"/>
        <v/>
      </c>
      <c r="J457" s="305" t="str">
        <f t="shared" si="125"/>
        <v/>
      </c>
      <c r="K457" s="305" t="str">
        <f t="shared" si="126"/>
        <v/>
      </c>
      <c r="L457" s="305" t="str">
        <f t="shared" si="127"/>
        <v/>
      </c>
      <c r="M457" s="314" t="str">
        <f t="shared" si="128"/>
        <v/>
      </c>
      <c r="N457" s="305" t="str">
        <f t="shared" si="129"/>
        <v/>
      </c>
      <c r="O457" s="327" t="e">
        <f t="shared" si="138"/>
        <v>#NUM!</v>
      </c>
      <c r="P457" s="305"/>
      <c r="Q457" s="303">
        <f t="shared" si="137"/>
        <v>0</v>
      </c>
      <c r="R457" s="304">
        <f t="shared" ref="R457:R520" si="141">R456-1</f>
        <v>-350</v>
      </c>
      <c r="S457" s="305" t="str">
        <f t="shared" si="130"/>
        <v/>
      </c>
      <c r="T457" s="305" t="str">
        <f t="shared" si="131"/>
        <v/>
      </c>
      <c r="U457" s="305" t="str">
        <f t="shared" si="132"/>
        <v/>
      </c>
      <c r="V457" s="305" t="str">
        <f t="shared" si="133"/>
        <v/>
      </c>
      <c r="W457" s="314" t="str">
        <f t="shared" si="134"/>
        <v/>
      </c>
      <c r="X457" s="314" t="str">
        <f t="shared" si="135"/>
        <v/>
      </c>
      <c r="Y457" s="326" t="str">
        <f t="shared" si="139"/>
        <v/>
      </c>
    </row>
    <row r="458" spans="7:25" x14ac:dyDescent="0.25">
      <c r="G458" s="303">
        <f t="shared" si="136"/>
        <v>0</v>
      </c>
      <c r="H458" s="304">
        <f t="shared" si="140"/>
        <v>451</v>
      </c>
      <c r="I458" s="305" t="str">
        <f t="shared" si="124"/>
        <v/>
      </c>
      <c r="J458" s="305" t="str">
        <f t="shared" si="125"/>
        <v/>
      </c>
      <c r="K458" s="305" t="str">
        <f t="shared" si="126"/>
        <v/>
      </c>
      <c r="L458" s="305" t="str">
        <f t="shared" si="127"/>
        <v/>
      </c>
      <c r="M458" s="314" t="str">
        <f t="shared" si="128"/>
        <v/>
      </c>
      <c r="N458" s="305" t="str">
        <f t="shared" si="129"/>
        <v/>
      </c>
      <c r="O458" s="327" t="e">
        <f t="shared" si="138"/>
        <v>#NUM!</v>
      </c>
      <c r="P458" s="305"/>
      <c r="Q458" s="303">
        <f t="shared" si="137"/>
        <v>0</v>
      </c>
      <c r="R458" s="304">
        <f t="shared" si="141"/>
        <v>-351</v>
      </c>
      <c r="S458" s="305" t="str">
        <f t="shared" si="130"/>
        <v/>
      </c>
      <c r="T458" s="305" t="str">
        <f t="shared" si="131"/>
        <v/>
      </c>
      <c r="U458" s="305" t="str">
        <f t="shared" si="132"/>
        <v/>
      </c>
      <c r="V458" s="305" t="str">
        <f t="shared" si="133"/>
        <v/>
      </c>
      <c r="W458" s="314" t="str">
        <f t="shared" si="134"/>
        <v/>
      </c>
      <c r="X458" s="314" t="str">
        <f t="shared" si="135"/>
        <v/>
      </c>
      <c r="Y458" s="326" t="str">
        <f t="shared" si="139"/>
        <v/>
      </c>
    </row>
    <row r="459" spans="7:25" x14ac:dyDescent="0.25">
      <c r="G459" s="303">
        <f t="shared" si="136"/>
        <v>0</v>
      </c>
      <c r="H459" s="304">
        <f t="shared" si="140"/>
        <v>452</v>
      </c>
      <c r="I459" s="305" t="str">
        <f t="shared" si="124"/>
        <v/>
      </c>
      <c r="J459" s="305" t="str">
        <f t="shared" si="125"/>
        <v/>
      </c>
      <c r="K459" s="305" t="str">
        <f t="shared" si="126"/>
        <v/>
      </c>
      <c r="L459" s="305" t="str">
        <f t="shared" si="127"/>
        <v/>
      </c>
      <c r="M459" s="314" t="str">
        <f t="shared" si="128"/>
        <v/>
      </c>
      <c r="N459" s="305" t="str">
        <f t="shared" si="129"/>
        <v/>
      </c>
      <c r="O459" s="327" t="e">
        <f t="shared" si="138"/>
        <v>#NUM!</v>
      </c>
      <c r="P459" s="305"/>
      <c r="Q459" s="303">
        <f t="shared" si="137"/>
        <v>0</v>
      </c>
      <c r="R459" s="304">
        <f t="shared" si="141"/>
        <v>-352</v>
      </c>
      <c r="S459" s="305" t="str">
        <f t="shared" si="130"/>
        <v/>
      </c>
      <c r="T459" s="305" t="str">
        <f t="shared" si="131"/>
        <v/>
      </c>
      <c r="U459" s="305" t="str">
        <f t="shared" si="132"/>
        <v/>
      </c>
      <c r="V459" s="305" t="str">
        <f t="shared" si="133"/>
        <v/>
      </c>
      <c r="W459" s="314" t="str">
        <f t="shared" si="134"/>
        <v/>
      </c>
      <c r="X459" s="314" t="str">
        <f t="shared" si="135"/>
        <v/>
      </c>
      <c r="Y459" s="326" t="str">
        <f t="shared" si="139"/>
        <v/>
      </c>
    </row>
    <row r="460" spans="7:25" x14ac:dyDescent="0.25">
      <c r="G460" s="303">
        <f t="shared" si="136"/>
        <v>0</v>
      </c>
      <c r="H460" s="304">
        <f t="shared" si="140"/>
        <v>453</v>
      </c>
      <c r="I460" s="305" t="str">
        <f t="shared" si="124"/>
        <v/>
      </c>
      <c r="J460" s="305" t="str">
        <f t="shared" si="125"/>
        <v/>
      </c>
      <c r="K460" s="305" t="str">
        <f t="shared" si="126"/>
        <v/>
      </c>
      <c r="L460" s="305" t="str">
        <f t="shared" si="127"/>
        <v/>
      </c>
      <c r="M460" s="314" t="str">
        <f t="shared" si="128"/>
        <v/>
      </c>
      <c r="N460" s="305" t="str">
        <f t="shared" si="129"/>
        <v/>
      </c>
      <c r="O460" s="327" t="e">
        <f t="shared" si="138"/>
        <v>#NUM!</v>
      </c>
      <c r="P460" s="305"/>
      <c r="Q460" s="303">
        <f t="shared" si="137"/>
        <v>0</v>
      </c>
      <c r="R460" s="304">
        <f t="shared" si="141"/>
        <v>-353</v>
      </c>
      <c r="S460" s="305" t="str">
        <f t="shared" si="130"/>
        <v/>
      </c>
      <c r="T460" s="305" t="str">
        <f t="shared" si="131"/>
        <v/>
      </c>
      <c r="U460" s="305" t="str">
        <f t="shared" si="132"/>
        <v/>
      </c>
      <c r="V460" s="305" t="str">
        <f t="shared" si="133"/>
        <v/>
      </c>
      <c r="W460" s="314" t="str">
        <f t="shared" si="134"/>
        <v/>
      </c>
      <c r="X460" s="314" t="str">
        <f t="shared" si="135"/>
        <v/>
      </c>
      <c r="Y460" s="326" t="str">
        <f t="shared" si="139"/>
        <v/>
      </c>
    </row>
    <row r="461" spans="7:25" x14ac:dyDescent="0.25">
      <c r="G461" s="303">
        <f t="shared" si="136"/>
        <v>0</v>
      </c>
      <c r="H461" s="304">
        <f t="shared" si="140"/>
        <v>454</v>
      </c>
      <c r="I461" s="305" t="str">
        <f t="shared" ref="I461:I524" si="142">IF(G461,H461,"")</f>
        <v/>
      </c>
      <c r="J461" s="305" t="str">
        <f t="shared" ref="J461:J524" si="143">IF(G461,$D$5-H461,"")</f>
        <v/>
      </c>
      <c r="K461" s="305" t="str">
        <f t="shared" ref="K461:K524" si="144">IF(G461,$B$7-H461,"")</f>
        <v/>
      </c>
      <c r="L461" s="305" t="str">
        <f t="shared" ref="L461:L524" si="145">IF(G461,$D$7-SUM(I461:K461),"")</f>
        <v/>
      </c>
      <c r="M461" s="314" t="str">
        <f t="shared" ref="M461:M524" si="146">IF(G461,M460*(K460*J460)/(L461*I461),"")</f>
        <v/>
      </c>
      <c r="N461" s="305" t="str">
        <f t="shared" ref="N461:N524" si="147">IF(AND(G461=1,I461&lt;=$B$5),M461,"")</f>
        <v/>
      </c>
      <c r="O461" s="327" t="e">
        <f t="shared" si="138"/>
        <v>#NUM!</v>
      </c>
      <c r="P461" s="305"/>
      <c r="Q461" s="303">
        <f t="shared" si="137"/>
        <v>0</v>
      </c>
      <c r="R461" s="304">
        <f t="shared" si="141"/>
        <v>-354</v>
      </c>
      <c r="S461" s="305" t="str">
        <f t="shared" ref="S461:S524" si="148">IF(Q461,R461,"")</f>
        <v/>
      </c>
      <c r="T461" s="305" t="str">
        <f t="shared" ref="T461:T524" si="149">IF(Q461,$D$5-R461,"")</f>
        <v/>
      </c>
      <c r="U461" s="305" t="str">
        <f t="shared" ref="U461:U524" si="150">IF(Q461,$B$7-R461,"")</f>
        <v/>
      </c>
      <c r="V461" s="305" t="str">
        <f t="shared" ref="V461:V524" si="151">IF(Q461,$D$7-SUM(S461:U461),"")</f>
        <v/>
      </c>
      <c r="W461" s="314" t="str">
        <f t="shared" ref="W461:W524" si="152">IF(Q461,W460*(S460*V460)/(U461*T461),"")</f>
        <v/>
      </c>
      <c r="X461" s="314" t="str">
        <f t="shared" ref="X461:X524" si="153">IF(AND(Q461=1,S461&gt;=$B$5),W461,"")</f>
        <v/>
      </c>
      <c r="Y461" s="326" t="str">
        <f t="shared" si="139"/>
        <v/>
      </c>
    </row>
    <row r="462" spans="7:25" x14ac:dyDescent="0.25">
      <c r="G462" s="303">
        <f t="shared" si="136"/>
        <v>0</v>
      </c>
      <c r="H462" s="304">
        <f t="shared" si="140"/>
        <v>455</v>
      </c>
      <c r="I462" s="305" t="str">
        <f t="shared" si="142"/>
        <v/>
      </c>
      <c r="J462" s="305" t="str">
        <f t="shared" si="143"/>
        <v/>
      </c>
      <c r="K462" s="305" t="str">
        <f t="shared" si="144"/>
        <v/>
      </c>
      <c r="L462" s="305" t="str">
        <f t="shared" si="145"/>
        <v/>
      </c>
      <c r="M462" s="314" t="str">
        <f t="shared" si="146"/>
        <v/>
      </c>
      <c r="N462" s="305" t="str">
        <f t="shared" si="147"/>
        <v/>
      </c>
      <c r="O462" s="327" t="e">
        <f t="shared" si="138"/>
        <v>#NUM!</v>
      </c>
      <c r="P462" s="305"/>
      <c r="Q462" s="303">
        <f t="shared" si="137"/>
        <v>0</v>
      </c>
      <c r="R462" s="304">
        <f t="shared" si="141"/>
        <v>-355</v>
      </c>
      <c r="S462" s="305" t="str">
        <f t="shared" si="148"/>
        <v/>
      </c>
      <c r="T462" s="305" t="str">
        <f t="shared" si="149"/>
        <v/>
      </c>
      <c r="U462" s="305" t="str">
        <f t="shared" si="150"/>
        <v/>
      </c>
      <c r="V462" s="305" t="str">
        <f t="shared" si="151"/>
        <v/>
      </c>
      <c r="W462" s="314" t="str">
        <f t="shared" si="152"/>
        <v/>
      </c>
      <c r="X462" s="314" t="str">
        <f t="shared" si="153"/>
        <v/>
      </c>
      <c r="Y462" s="326" t="str">
        <f t="shared" si="139"/>
        <v/>
      </c>
    </row>
    <row r="463" spans="7:25" x14ac:dyDescent="0.25">
      <c r="G463" s="303">
        <f t="shared" si="136"/>
        <v>0</v>
      </c>
      <c r="H463" s="304">
        <f t="shared" si="140"/>
        <v>456</v>
      </c>
      <c r="I463" s="305" t="str">
        <f t="shared" si="142"/>
        <v/>
      </c>
      <c r="J463" s="305" t="str">
        <f t="shared" si="143"/>
        <v/>
      </c>
      <c r="K463" s="305" t="str">
        <f t="shared" si="144"/>
        <v/>
      </c>
      <c r="L463" s="305" t="str">
        <f t="shared" si="145"/>
        <v/>
      </c>
      <c r="M463" s="314" t="str">
        <f t="shared" si="146"/>
        <v/>
      </c>
      <c r="N463" s="305" t="str">
        <f t="shared" si="147"/>
        <v/>
      </c>
      <c r="O463" s="327" t="e">
        <f t="shared" si="138"/>
        <v>#NUM!</v>
      </c>
      <c r="P463" s="305"/>
      <c r="Q463" s="303">
        <f t="shared" si="137"/>
        <v>0</v>
      </c>
      <c r="R463" s="304">
        <f t="shared" si="141"/>
        <v>-356</v>
      </c>
      <c r="S463" s="305" t="str">
        <f t="shared" si="148"/>
        <v/>
      </c>
      <c r="T463" s="305" t="str">
        <f t="shared" si="149"/>
        <v/>
      </c>
      <c r="U463" s="305" t="str">
        <f t="shared" si="150"/>
        <v/>
      </c>
      <c r="V463" s="305" t="str">
        <f t="shared" si="151"/>
        <v/>
      </c>
      <c r="W463" s="314" t="str">
        <f t="shared" si="152"/>
        <v/>
      </c>
      <c r="X463" s="314" t="str">
        <f t="shared" si="153"/>
        <v/>
      </c>
      <c r="Y463" s="326" t="str">
        <f t="shared" si="139"/>
        <v/>
      </c>
    </row>
    <row r="464" spans="7:25" x14ac:dyDescent="0.25">
      <c r="G464" s="303">
        <f t="shared" si="136"/>
        <v>0</v>
      </c>
      <c r="H464" s="304">
        <f t="shared" si="140"/>
        <v>457</v>
      </c>
      <c r="I464" s="305" t="str">
        <f t="shared" si="142"/>
        <v/>
      </c>
      <c r="J464" s="305" t="str">
        <f t="shared" si="143"/>
        <v/>
      </c>
      <c r="K464" s="305" t="str">
        <f t="shared" si="144"/>
        <v/>
      </c>
      <c r="L464" s="305" t="str">
        <f t="shared" si="145"/>
        <v/>
      </c>
      <c r="M464" s="314" t="str">
        <f t="shared" si="146"/>
        <v/>
      </c>
      <c r="N464" s="305" t="str">
        <f t="shared" si="147"/>
        <v/>
      </c>
      <c r="O464" s="327" t="e">
        <f t="shared" si="138"/>
        <v>#NUM!</v>
      </c>
      <c r="P464" s="305"/>
      <c r="Q464" s="303">
        <f t="shared" si="137"/>
        <v>0</v>
      </c>
      <c r="R464" s="304">
        <f t="shared" si="141"/>
        <v>-357</v>
      </c>
      <c r="S464" s="305" t="str">
        <f t="shared" si="148"/>
        <v/>
      </c>
      <c r="T464" s="305" t="str">
        <f t="shared" si="149"/>
        <v/>
      </c>
      <c r="U464" s="305" t="str">
        <f t="shared" si="150"/>
        <v/>
      </c>
      <c r="V464" s="305" t="str">
        <f t="shared" si="151"/>
        <v/>
      </c>
      <c r="W464" s="314" t="str">
        <f t="shared" si="152"/>
        <v/>
      </c>
      <c r="X464" s="314" t="str">
        <f t="shared" si="153"/>
        <v/>
      </c>
      <c r="Y464" s="326" t="str">
        <f t="shared" si="139"/>
        <v/>
      </c>
    </row>
    <row r="465" spans="7:25" x14ac:dyDescent="0.25">
      <c r="G465" s="303">
        <f t="shared" si="136"/>
        <v>0</v>
      </c>
      <c r="H465" s="304">
        <f t="shared" si="140"/>
        <v>458</v>
      </c>
      <c r="I465" s="305" t="str">
        <f t="shared" si="142"/>
        <v/>
      </c>
      <c r="J465" s="305" t="str">
        <f t="shared" si="143"/>
        <v/>
      </c>
      <c r="K465" s="305" t="str">
        <f t="shared" si="144"/>
        <v/>
      </c>
      <c r="L465" s="305" t="str">
        <f t="shared" si="145"/>
        <v/>
      </c>
      <c r="M465" s="314" t="str">
        <f t="shared" si="146"/>
        <v/>
      </c>
      <c r="N465" s="305" t="str">
        <f t="shared" si="147"/>
        <v/>
      </c>
      <c r="O465" s="327" t="e">
        <f t="shared" si="138"/>
        <v>#NUM!</v>
      </c>
      <c r="P465" s="305"/>
      <c r="Q465" s="303">
        <f t="shared" si="137"/>
        <v>0</v>
      </c>
      <c r="R465" s="304">
        <f t="shared" si="141"/>
        <v>-358</v>
      </c>
      <c r="S465" s="305" t="str">
        <f t="shared" si="148"/>
        <v/>
      </c>
      <c r="T465" s="305" t="str">
        <f t="shared" si="149"/>
        <v/>
      </c>
      <c r="U465" s="305" t="str">
        <f t="shared" si="150"/>
        <v/>
      </c>
      <c r="V465" s="305" t="str">
        <f t="shared" si="151"/>
        <v/>
      </c>
      <c r="W465" s="314" t="str">
        <f t="shared" si="152"/>
        <v/>
      </c>
      <c r="X465" s="314" t="str">
        <f t="shared" si="153"/>
        <v/>
      </c>
      <c r="Y465" s="326" t="str">
        <f t="shared" si="139"/>
        <v/>
      </c>
    </row>
    <row r="466" spans="7:25" x14ac:dyDescent="0.25">
      <c r="G466" s="303">
        <f t="shared" si="136"/>
        <v>0</v>
      </c>
      <c r="H466" s="304">
        <f t="shared" si="140"/>
        <v>459</v>
      </c>
      <c r="I466" s="305" t="str">
        <f t="shared" si="142"/>
        <v/>
      </c>
      <c r="J466" s="305" t="str">
        <f t="shared" si="143"/>
        <v/>
      </c>
      <c r="K466" s="305" t="str">
        <f t="shared" si="144"/>
        <v/>
      </c>
      <c r="L466" s="305" t="str">
        <f t="shared" si="145"/>
        <v/>
      </c>
      <c r="M466" s="314" t="str">
        <f t="shared" si="146"/>
        <v/>
      </c>
      <c r="N466" s="305" t="str">
        <f t="shared" si="147"/>
        <v/>
      </c>
      <c r="O466" s="327" t="e">
        <f t="shared" si="138"/>
        <v>#NUM!</v>
      </c>
      <c r="P466" s="305"/>
      <c r="Q466" s="303">
        <f t="shared" si="137"/>
        <v>0</v>
      </c>
      <c r="R466" s="304">
        <f t="shared" si="141"/>
        <v>-359</v>
      </c>
      <c r="S466" s="305" t="str">
        <f t="shared" si="148"/>
        <v/>
      </c>
      <c r="T466" s="305" t="str">
        <f t="shared" si="149"/>
        <v/>
      </c>
      <c r="U466" s="305" t="str">
        <f t="shared" si="150"/>
        <v/>
      </c>
      <c r="V466" s="305" t="str">
        <f t="shared" si="151"/>
        <v/>
      </c>
      <c r="W466" s="314" t="str">
        <f t="shared" si="152"/>
        <v/>
      </c>
      <c r="X466" s="314" t="str">
        <f t="shared" si="153"/>
        <v/>
      </c>
      <c r="Y466" s="326" t="str">
        <f t="shared" si="139"/>
        <v/>
      </c>
    </row>
    <row r="467" spans="7:25" x14ac:dyDescent="0.25">
      <c r="G467" s="303">
        <f t="shared" si="136"/>
        <v>0</v>
      </c>
      <c r="H467" s="304">
        <f t="shared" si="140"/>
        <v>460</v>
      </c>
      <c r="I467" s="305" t="str">
        <f t="shared" si="142"/>
        <v/>
      </c>
      <c r="J467" s="305" t="str">
        <f t="shared" si="143"/>
        <v/>
      </c>
      <c r="K467" s="305" t="str">
        <f t="shared" si="144"/>
        <v/>
      </c>
      <c r="L467" s="305" t="str">
        <f t="shared" si="145"/>
        <v/>
      </c>
      <c r="M467" s="314" t="str">
        <f t="shared" si="146"/>
        <v/>
      </c>
      <c r="N467" s="305" t="str">
        <f t="shared" si="147"/>
        <v/>
      </c>
      <c r="O467" s="327" t="e">
        <f t="shared" si="138"/>
        <v>#NUM!</v>
      </c>
      <c r="P467" s="305"/>
      <c r="Q467" s="303">
        <f t="shared" si="137"/>
        <v>0</v>
      </c>
      <c r="R467" s="304">
        <f t="shared" si="141"/>
        <v>-360</v>
      </c>
      <c r="S467" s="305" t="str">
        <f t="shared" si="148"/>
        <v/>
      </c>
      <c r="T467" s="305" t="str">
        <f t="shared" si="149"/>
        <v/>
      </c>
      <c r="U467" s="305" t="str">
        <f t="shared" si="150"/>
        <v/>
      </c>
      <c r="V467" s="305" t="str">
        <f t="shared" si="151"/>
        <v/>
      </c>
      <c r="W467" s="314" t="str">
        <f t="shared" si="152"/>
        <v/>
      </c>
      <c r="X467" s="314" t="str">
        <f t="shared" si="153"/>
        <v/>
      </c>
      <c r="Y467" s="326" t="str">
        <f t="shared" si="139"/>
        <v/>
      </c>
    </row>
    <row r="468" spans="7:25" x14ac:dyDescent="0.25">
      <c r="G468" s="303">
        <f t="shared" si="136"/>
        <v>0</v>
      </c>
      <c r="H468" s="304">
        <f t="shared" si="140"/>
        <v>461</v>
      </c>
      <c r="I468" s="305" t="str">
        <f t="shared" si="142"/>
        <v/>
      </c>
      <c r="J468" s="305" t="str">
        <f t="shared" si="143"/>
        <v/>
      </c>
      <c r="K468" s="305" t="str">
        <f t="shared" si="144"/>
        <v/>
      </c>
      <c r="L468" s="305" t="str">
        <f t="shared" si="145"/>
        <v/>
      </c>
      <c r="M468" s="314" t="str">
        <f t="shared" si="146"/>
        <v/>
      </c>
      <c r="N468" s="305" t="str">
        <f t="shared" si="147"/>
        <v/>
      </c>
      <c r="O468" s="327" t="e">
        <f t="shared" si="138"/>
        <v>#NUM!</v>
      </c>
      <c r="P468" s="305"/>
      <c r="Q468" s="303">
        <f t="shared" si="137"/>
        <v>0</v>
      </c>
      <c r="R468" s="304">
        <f t="shared" si="141"/>
        <v>-361</v>
      </c>
      <c r="S468" s="305" t="str">
        <f t="shared" si="148"/>
        <v/>
      </c>
      <c r="T468" s="305" t="str">
        <f t="shared" si="149"/>
        <v/>
      </c>
      <c r="U468" s="305" t="str">
        <f t="shared" si="150"/>
        <v/>
      </c>
      <c r="V468" s="305" t="str">
        <f t="shared" si="151"/>
        <v/>
      </c>
      <c r="W468" s="314" t="str">
        <f t="shared" si="152"/>
        <v/>
      </c>
      <c r="X468" s="314" t="str">
        <f t="shared" si="153"/>
        <v/>
      </c>
      <c r="Y468" s="326" t="str">
        <f t="shared" si="139"/>
        <v/>
      </c>
    </row>
    <row r="469" spans="7:25" x14ac:dyDescent="0.25">
      <c r="G469" s="303">
        <f t="shared" si="136"/>
        <v>0</v>
      </c>
      <c r="H469" s="304">
        <f t="shared" si="140"/>
        <v>462</v>
      </c>
      <c r="I469" s="305" t="str">
        <f t="shared" si="142"/>
        <v/>
      </c>
      <c r="J469" s="305" t="str">
        <f t="shared" si="143"/>
        <v/>
      </c>
      <c r="K469" s="305" t="str">
        <f t="shared" si="144"/>
        <v/>
      </c>
      <c r="L469" s="305" t="str">
        <f t="shared" si="145"/>
        <v/>
      </c>
      <c r="M469" s="314" t="str">
        <f t="shared" si="146"/>
        <v/>
      </c>
      <c r="N469" s="305" t="str">
        <f t="shared" si="147"/>
        <v/>
      </c>
      <c r="O469" s="327" t="e">
        <f t="shared" si="138"/>
        <v>#NUM!</v>
      </c>
      <c r="P469" s="305"/>
      <c r="Q469" s="303">
        <f t="shared" si="137"/>
        <v>0</v>
      </c>
      <c r="R469" s="304">
        <f t="shared" si="141"/>
        <v>-362</v>
      </c>
      <c r="S469" s="305" t="str">
        <f t="shared" si="148"/>
        <v/>
      </c>
      <c r="T469" s="305" t="str">
        <f t="shared" si="149"/>
        <v/>
      </c>
      <c r="U469" s="305" t="str">
        <f t="shared" si="150"/>
        <v/>
      </c>
      <c r="V469" s="305" t="str">
        <f t="shared" si="151"/>
        <v/>
      </c>
      <c r="W469" s="314" t="str">
        <f t="shared" si="152"/>
        <v/>
      </c>
      <c r="X469" s="314" t="str">
        <f t="shared" si="153"/>
        <v/>
      </c>
      <c r="Y469" s="326" t="str">
        <f t="shared" si="139"/>
        <v/>
      </c>
    </row>
    <row r="470" spans="7:25" x14ac:dyDescent="0.25">
      <c r="G470" s="303">
        <f t="shared" si="136"/>
        <v>0</v>
      </c>
      <c r="H470" s="304">
        <f t="shared" si="140"/>
        <v>463</v>
      </c>
      <c r="I470" s="305" t="str">
        <f t="shared" si="142"/>
        <v/>
      </c>
      <c r="J470" s="305" t="str">
        <f t="shared" si="143"/>
        <v/>
      </c>
      <c r="K470" s="305" t="str">
        <f t="shared" si="144"/>
        <v/>
      </c>
      <c r="L470" s="305" t="str">
        <f t="shared" si="145"/>
        <v/>
      </c>
      <c r="M470" s="314" t="str">
        <f t="shared" si="146"/>
        <v/>
      </c>
      <c r="N470" s="305" t="str">
        <f t="shared" si="147"/>
        <v/>
      </c>
      <c r="O470" s="327" t="e">
        <f t="shared" si="138"/>
        <v>#NUM!</v>
      </c>
      <c r="P470" s="305"/>
      <c r="Q470" s="303">
        <f t="shared" si="137"/>
        <v>0</v>
      </c>
      <c r="R470" s="304">
        <f t="shared" si="141"/>
        <v>-363</v>
      </c>
      <c r="S470" s="305" t="str">
        <f t="shared" si="148"/>
        <v/>
      </c>
      <c r="T470" s="305" t="str">
        <f t="shared" si="149"/>
        <v/>
      </c>
      <c r="U470" s="305" t="str">
        <f t="shared" si="150"/>
        <v/>
      </c>
      <c r="V470" s="305" t="str">
        <f t="shared" si="151"/>
        <v/>
      </c>
      <c r="W470" s="314" t="str">
        <f t="shared" si="152"/>
        <v/>
      </c>
      <c r="X470" s="314" t="str">
        <f t="shared" si="153"/>
        <v/>
      </c>
      <c r="Y470" s="326" t="str">
        <f t="shared" si="139"/>
        <v/>
      </c>
    </row>
    <row r="471" spans="7:25" x14ac:dyDescent="0.25">
      <c r="G471" s="303">
        <f t="shared" si="136"/>
        <v>0</v>
      </c>
      <c r="H471" s="304">
        <f t="shared" si="140"/>
        <v>464</v>
      </c>
      <c r="I471" s="305" t="str">
        <f t="shared" si="142"/>
        <v/>
      </c>
      <c r="J471" s="305" t="str">
        <f t="shared" si="143"/>
        <v/>
      </c>
      <c r="K471" s="305" t="str">
        <f t="shared" si="144"/>
        <v/>
      </c>
      <c r="L471" s="305" t="str">
        <f t="shared" si="145"/>
        <v/>
      </c>
      <c r="M471" s="314" t="str">
        <f t="shared" si="146"/>
        <v/>
      </c>
      <c r="N471" s="305" t="str">
        <f t="shared" si="147"/>
        <v/>
      </c>
      <c r="O471" s="327" t="e">
        <f t="shared" si="138"/>
        <v>#NUM!</v>
      </c>
      <c r="P471" s="305"/>
      <c r="Q471" s="303">
        <f t="shared" si="137"/>
        <v>0</v>
      </c>
      <c r="R471" s="304">
        <f t="shared" si="141"/>
        <v>-364</v>
      </c>
      <c r="S471" s="305" t="str">
        <f t="shared" si="148"/>
        <v/>
      </c>
      <c r="T471" s="305" t="str">
        <f t="shared" si="149"/>
        <v/>
      </c>
      <c r="U471" s="305" t="str">
        <f t="shared" si="150"/>
        <v/>
      </c>
      <c r="V471" s="305" t="str">
        <f t="shared" si="151"/>
        <v/>
      </c>
      <c r="W471" s="314" t="str">
        <f t="shared" si="152"/>
        <v/>
      </c>
      <c r="X471" s="314" t="str">
        <f t="shared" si="153"/>
        <v/>
      </c>
      <c r="Y471" s="326" t="str">
        <f t="shared" si="139"/>
        <v/>
      </c>
    </row>
    <row r="472" spans="7:25" x14ac:dyDescent="0.25">
      <c r="G472" s="303">
        <f t="shared" si="136"/>
        <v>0</v>
      </c>
      <c r="H472" s="304">
        <f t="shared" si="140"/>
        <v>465</v>
      </c>
      <c r="I472" s="305" t="str">
        <f t="shared" si="142"/>
        <v/>
      </c>
      <c r="J472" s="305" t="str">
        <f t="shared" si="143"/>
        <v/>
      </c>
      <c r="K472" s="305" t="str">
        <f t="shared" si="144"/>
        <v/>
      </c>
      <c r="L472" s="305" t="str">
        <f t="shared" si="145"/>
        <v/>
      </c>
      <c r="M472" s="314" t="str">
        <f t="shared" si="146"/>
        <v/>
      </c>
      <c r="N472" s="305" t="str">
        <f t="shared" si="147"/>
        <v/>
      </c>
      <c r="O472" s="327" t="e">
        <f t="shared" si="138"/>
        <v>#NUM!</v>
      </c>
      <c r="P472" s="305"/>
      <c r="Q472" s="303">
        <f t="shared" si="137"/>
        <v>0</v>
      </c>
      <c r="R472" s="304">
        <f t="shared" si="141"/>
        <v>-365</v>
      </c>
      <c r="S472" s="305" t="str">
        <f t="shared" si="148"/>
        <v/>
      </c>
      <c r="T472" s="305" t="str">
        <f t="shared" si="149"/>
        <v/>
      </c>
      <c r="U472" s="305" t="str">
        <f t="shared" si="150"/>
        <v/>
      </c>
      <c r="V472" s="305" t="str">
        <f t="shared" si="151"/>
        <v/>
      </c>
      <c r="W472" s="314" t="str">
        <f t="shared" si="152"/>
        <v/>
      </c>
      <c r="X472" s="314" t="str">
        <f t="shared" si="153"/>
        <v/>
      </c>
      <c r="Y472" s="326" t="str">
        <f t="shared" si="139"/>
        <v/>
      </c>
    </row>
    <row r="473" spans="7:25" x14ac:dyDescent="0.25">
      <c r="G473" s="303">
        <f t="shared" si="136"/>
        <v>0</v>
      </c>
      <c r="H473" s="304">
        <f t="shared" si="140"/>
        <v>466</v>
      </c>
      <c r="I473" s="305" t="str">
        <f t="shared" si="142"/>
        <v/>
      </c>
      <c r="J473" s="305" t="str">
        <f t="shared" si="143"/>
        <v/>
      </c>
      <c r="K473" s="305" t="str">
        <f t="shared" si="144"/>
        <v/>
      </c>
      <c r="L473" s="305" t="str">
        <f t="shared" si="145"/>
        <v/>
      </c>
      <c r="M473" s="314" t="str">
        <f t="shared" si="146"/>
        <v/>
      </c>
      <c r="N473" s="305" t="str">
        <f t="shared" si="147"/>
        <v/>
      </c>
      <c r="O473" s="327" t="e">
        <f t="shared" si="138"/>
        <v>#NUM!</v>
      </c>
      <c r="P473" s="305"/>
      <c r="Q473" s="303">
        <f t="shared" si="137"/>
        <v>0</v>
      </c>
      <c r="R473" s="304">
        <f t="shared" si="141"/>
        <v>-366</v>
      </c>
      <c r="S473" s="305" t="str">
        <f t="shared" si="148"/>
        <v/>
      </c>
      <c r="T473" s="305" t="str">
        <f t="shared" si="149"/>
        <v/>
      </c>
      <c r="U473" s="305" t="str">
        <f t="shared" si="150"/>
        <v/>
      </c>
      <c r="V473" s="305" t="str">
        <f t="shared" si="151"/>
        <v/>
      </c>
      <c r="W473" s="314" t="str">
        <f t="shared" si="152"/>
        <v/>
      </c>
      <c r="X473" s="314" t="str">
        <f t="shared" si="153"/>
        <v/>
      </c>
      <c r="Y473" s="326" t="str">
        <f t="shared" si="139"/>
        <v/>
      </c>
    </row>
    <row r="474" spans="7:25" x14ac:dyDescent="0.25">
      <c r="G474" s="303">
        <f t="shared" si="136"/>
        <v>0</v>
      </c>
      <c r="H474" s="304">
        <f t="shared" si="140"/>
        <v>467</v>
      </c>
      <c r="I474" s="305" t="str">
        <f t="shared" si="142"/>
        <v/>
      </c>
      <c r="J474" s="305" t="str">
        <f t="shared" si="143"/>
        <v/>
      </c>
      <c r="K474" s="305" t="str">
        <f t="shared" si="144"/>
        <v/>
      </c>
      <c r="L474" s="305" t="str">
        <f t="shared" si="145"/>
        <v/>
      </c>
      <c r="M474" s="314" t="str">
        <f t="shared" si="146"/>
        <v/>
      </c>
      <c r="N474" s="305" t="str">
        <f t="shared" si="147"/>
        <v/>
      </c>
      <c r="O474" s="327" t="e">
        <f t="shared" si="138"/>
        <v>#NUM!</v>
      </c>
      <c r="P474" s="305"/>
      <c r="Q474" s="303">
        <f t="shared" si="137"/>
        <v>0</v>
      </c>
      <c r="R474" s="304">
        <f t="shared" si="141"/>
        <v>-367</v>
      </c>
      <c r="S474" s="305" t="str">
        <f t="shared" si="148"/>
        <v/>
      </c>
      <c r="T474" s="305" t="str">
        <f t="shared" si="149"/>
        <v/>
      </c>
      <c r="U474" s="305" t="str">
        <f t="shared" si="150"/>
        <v/>
      </c>
      <c r="V474" s="305" t="str">
        <f t="shared" si="151"/>
        <v/>
      </c>
      <c r="W474" s="314" t="str">
        <f t="shared" si="152"/>
        <v/>
      </c>
      <c r="X474" s="314" t="str">
        <f t="shared" si="153"/>
        <v/>
      </c>
      <c r="Y474" s="326" t="str">
        <f t="shared" si="139"/>
        <v/>
      </c>
    </row>
    <row r="475" spans="7:25" x14ac:dyDescent="0.25">
      <c r="G475" s="303">
        <f t="shared" si="136"/>
        <v>0</v>
      </c>
      <c r="H475" s="304">
        <f t="shared" si="140"/>
        <v>468</v>
      </c>
      <c r="I475" s="305" t="str">
        <f t="shared" si="142"/>
        <v/>
      </c>
      <c r="J475" s="305" t="str">
        <f t="shared" si="143"/>
        <v/>
      </c>
      <c r="K475" s="305" t="str">
        <f t="shared" si="144"/>
        <v/>
      </c>
      <c r="L475" s="305" t="str">
        <f t="shared" si="145"/>
        <v/>
      </c>
      <c r="M475" s="314" t="str">
        <f t="shared" si="146"/>
        <v/>
      </c>
      <c r="N475" s="305" t="str">
        <f t="shared" si="147"/>
        <v/>
      </c>
      <c r="O475" s="327" t="e">
        <f t="shared" si="138"/>
        <v>#NUM!</v>
      </c>
      <c r="P475" s="305"/>
      <c r="Q475" s="303">
        <f t="shared" si="137"/>
        <v>0</v>
      </c>
      <c r="R475" s="304">
        <f t="shared" si="141"/>
        <v>-368</v>
      </c>
      <c r="S475" s="305" t="str">
        <f t="shared" si="148"/>
        <v/>
      </c>
      <c r="T475" s="305" t="str">
        <f t="shared" si="149"/>
        <v/>
      </c>
      <c r="U475" s="305" t="str">
        <f t="shared" si="150"/>
        <v/>
      </c>
      <c r="V475" s="305" t="str">
        <f t="shared" si="151"/>
        <v/>
      </c>
      <c r="W475" s="314" t="str">
        <f t="shared" si="152"/>
        <v/>
      </c>
      <c r="X475" s="314" t="str">
        <f t="shared" si="153"/>
        <v/>
      </c>
      <c r="Y475" s="326" t="str">
        <f t="shared" si="139"/>
        <v/>
      </c>
    </row>
    <row r="476" spans="7:25" x14ac:dyDescent="0.25">
      <c r="G476" s="303">
        <f t="shared" si="136"/>
        <v>0</v>
      </c>
      <c r="H476" s="304">
        <f t="shared" si="140"/>
        <v>469</v>
      </c>
      <c r="I476" s="305" t="str">
        <f t="shared" si="142"/>
        <v/>
      </c>
      <c r="J476" s="305" t="str">
        <f t="shared" si="143"/>
        <v/>
      </c>
      <c r="K476" s="305" t="str">
        <f t="shared" si="144"/>
        <v/>
      </c>
      <c r="L476" s="305" t="str">
        <f t="shared" si="145"/>
        <v/>
      </c>
      <c r="M476" s="314" t="str">
        <f t="shared" si="146"/>
        <v/>
      </c>
      <c r="N476" s="305" t="str">
        <f t="shared" si="147"/>
        <v/>
      </c>
      <c r="O476" s="327" t="e">
        <f t="shared" si="138"/>
        <v>#NUM!</v>
      </c>
      <c r="P476" s="305"/>
      <c r="Q476" s="303">
        <f t="shared" si="137"/>
        <v>0</v>
      </c>
      <c r="R476" s="304">
        <f t="shared" si="141"/>
        <v>-369</v>
      </c>
      <c r="S476" s="305" t="str">
        <f t="shared" si="148"/>
        <v/>
      </c>
      <c r="T476" s="305" t="str">
        <f t="shared" si="149"/>
        <v/>
      </c>
      <c r="U476" s="305" t="str">
        <f t="shared" si="150"/>
        <v/>
      </c>
      <c r="V476" s="305" t="str">
        <f t="shared" si="151"/>
        <v/>
      </c>
      <c r="W476" s="314" t="str">
        <f t="shared" si="152"/>
        <v/>
      </c>
      <c r="X476" s="314" t="str">
        <f t="shared" si="153"/>
        <v/>
      </c>
      <c r="Y476" s="326" t="str">
        <f t="shared" si="139"/>
        <v/>
      </c>
    </row>
    <row r="477" spans="7:25" x14ac:dyDescent="0.25">
      <c r="G477" s="303">
        <f t="shared" si="136"/>
        <v>0</v>
      </c>
      <c r="H477" s="304">
        <f t="shared" si="140"/>
        <v>470</v>
      </c>
      <c r="I477" s="305" t="str">
        <f t="shared" si="142"/>
        <v/>
      </c>
      <c r="J477" s="305" t="str">
        <f t="shared" si="143"/>
        <v/>
      </c>
      <c r="K477" s="305" t="str">
        <f t="shared" si="144"/>
        <v/>
      </c>
      <c r="L477" s="305" t="str">
        <f t="shared" si="145"/>
        <v/>
      </c>
      <c r="M477" s="314" t="str">
        <f t="shared" si="146"/>
        <v/>
      </c>
      <c r="N477" s="305" t="str">
        <f t="shared" si="147"/>
        <v/>
      </c>
      <c r="O477" s="327" t="e">
        <f t="shared" si="138"/>
        <v>#NUM!</v>
      </c>
      <c r="P477" s="305"/>
      <c r="Q477" s="303">
        <f t="shared" si="137"/>
        <v>0</v>
      </c>
      <c r="R477" s="304">
        <f t="shared" si="141"/>
        <v>-370</v>
      </c>
      <c r="S477" s="305" t="str">
        <f t="shared" si="148"/>
        <v/>
      </c>
      <c r="T477" s="305" t="str">
        <f t="shared" si="149"/>
        <v/>
      </c>
      <c r="U477" s="305" t="str">
        <f t="shared" si="150"/>
        <v/>
      </c>
      <c r="V477" s="305" t="str">
        <f t="shared" si="151"/>
        <v/>
      </c>
      <c r="W477" s="314" t="str">
        <f t="shared" si="152"/>
        <v/>
      </c>
      <c r="X477" s="314" t="str">
        <f t="shared" si="153"/>
        <v/>
      </c>
      <c r="Y477" s="326" t="str">
        <f t="shared" si="139"/>
        <v/>
      </c>
    </row>
    <row r="478" spans="7:25" x14ac:dyDescent="0.25">
      <c r="G478" s="303">
        <f t="shared" si="136"/>
        <v>0</v>
      </c>
      <c r="H478" s="304">
        <f t="shared" si="140"/>
        <v>471</v>
      </c>
      <c r="I478" s="305" t="str">
        <f t="shared" si="142"/>
        <v/>
      </c>
      <c r="J478" s="305" t="str">
        <f t="shared" si="143"/>
        <v/>
      </c>
      <c r="K478" s="305" t="str">
        <f t="shared" si="144"/>
        <v/>
      </c>
      <c r="L478" s="305" t="str">
        <f t="shared" si="145"/>
        <v/>
      </c>
      <c r="M478" s="314" t="str">
        <f t="shared" si="146"/>
        <v/>
      </c>
      <c r="N478" s="305" t="str">
        <f t="shared" si="147"/>
        <v/>
      </c>
      <c r="O478" s="327" t="e">
        <f t="shared" si="138"/>
        <v>#NUM!</v>
      </c>
      <c r="P478" s="305"/>
      <c r="Q478" s="303">
        <f t="shared" si="137"/>
        <v>0</v>
      </c>
      <c r="R478" s="304">
        <f t="shared" si="141"/>
        <v>-371</v>
      </c>
      <c r="S478" s="305" t="str">
        <f t="shared" si="148"/>
        <v/>
      </c>
      <c r="T478" s="305" t="str">
        <f t="shared" si="149"/>
        <v/>
      </c>
      <c r="U478" s="305" t="str">
        <f t="shared" si="150"/>
        <v/>
      </c>
      <c r="V478" s="305" t="str">
        <f t="shared" si="151"/>
        <v/>
      </c>
      <c r="W478" s="314" t="str">
        <f t="shared" si="152"/>
        <v/>
      </c>
      <c r="X478" s="314" t="str">
        <f t="shared" si="153"/>
        <v/>
      </c>
      <c r="Y478" s="326" t="str">
        <f t="shared" si="139"/>
        <v/>
      </c>
    </row>
    <row r="479" spans="7:25" x14ac:dyDescent="0.25">
      <c r="G479" s="303">
        <f t="shared" si="136"/>
        <v>0</v>
      </c>
      <c r="H479" s="304">
        <f t="shared" si="140"/>
        <v>472</v>
      </c>
      <c r="I479" s="305" t="str">
        <f t="shared" si="142"/>
        <v/>
      </c>
      <c r="J479" s="305" t="str">
        <f t="shared" si="143"/>
        <v/>
      </c>
      <c r="K479" s="305" t="str">
        <f t="shared" si="144"/>
        <v/>
      </c>
      <c r="L479" s="305" t="str">
        <f t="shared" si="145"/>
        <v/>
      </c>
      <c r="M479" s="314" t="str">
        <f t="shared" si="146"/>
        <v/>
      </c>
      <c r="N479" s="305" t="str">
        <f t="shared" si="147"/>
        <v/>
      </c>
      <c r="O479" s="327" t="e">
        <f t="shared" si="138"/>
        <v>#NUM!</v>
      </c>
      <c r="P479" s="305"/>
      <c r="Q479" s="303">
        <f t="shared" si="137"/>
        <v>0</v>
      </c>
      <c r="R479" s="304">
        <f t="shared" si="141"/>
        <v>-372</v>
      </c>
      <c r="S479" s="305" t="str">
        <f t="shared" si="148"/>
        <v/>
      </c>
      <c r="T479" s="305" t="str">
        <f t="shared" si="149"/>
        <v/>
      </c>
      <c r="U479" s="305" t="str">
        <f t="shared" si="150"/>
        <v/>
      </c>
      <c r="V479" s="305" t="str">
        <f t="shared" si="151"/>
        <v/>
      </c>
      <c r="W479" s="314" t="str">
        <f t="shared" si="152"/>
        <v/>
      </c>
      <c r="X479" s="314" t="str">
        <f t="shared" si="153"/>
        <v/>
      </c>
      <c r="Y479" s="326" t="str">
        <f t="shared" si="139"/>
        <v/>
      </c>
    </row>
    <row r="480" spans="7:25" x14ac:dyDescent="0.25">
      <c r="G480" s="303">
        <f t="shared" si="136"/>
        <v>0</v>
      </c>
      <c r="H480" s="304">
        <f t="shared" si="140"/>
        <v>473</v>
      </c>
      <c r="I480" s="305" t="str">
        <f t="shared" si="142"/>
        <v/>
      </c>
      <c r="J480" s="305" t="str">
        <f t="shared" si="143"/>
        <v/>
      </c>
      <c r="K480" s="305" t="str">
        <f t="shared" si="144"/>
        <v/>
      </c>
      <c r="L480" s="305" t="str">
        <f t="shared" si="145"/>
        <v/>
      </c>
      <c r="M480" s="314" t="str">
        <f t="shared" si="146"/>
        <v/>
      </c>
      <c r="N480" s="305" t="str">
        <f t="shared" si="147"/>
        <v/>
      </c>
      <c r="O480" s="327" t="e">
        <f t="shared" si="138"/>
        <v>#NUM!</v>
      </c>
      <c r="P480" s="305"/>
      <c r="Q480" s="303">
        <f t="shared" si="137"/>
        <v>0</v>
      </c>
      <c r="R480" s="304">
        <f t="shared" si="141"/>
        <v>-373</v>
      </c>
      <c r="S480" s="305" t="str">
        <f t="shared" si="148"/>
        <v/>
      </c>
      <c r="T480" s="305" t="str">
        <f t="shared" si="149"/>
        <v/>
      </c>
      <c r="U480" s="305" t="str">
        <f t="shared" si="150"/>
        <v/>
      </c>
      <c r="V480" s="305" t="str">
        <f t="shared" si="151"/>
        <v/>
      </c>
      <c r="W480" s="314" t="str">
        <f t="shared" si="152"/>
        <v/>
      </c>
      <c r="X480" s="314" t="str">
        <f t="shared" si="153"/>
        <v/>
      </c>
      <c r="Y480" s="326" t="str">
        <f t="shared" si="139"/>
        <v/>
      </c>
    </row>
    <row r="481" spans="7:25" x14ac:dyDescent="0.25">
      <c r="G481" s="303">
        <f t="shared" si="136"/>
        <v>0</v>
      </c>
      <c r="H481" s="304">
        <f t="shared" si="140"/>
        <v>474</v>
      </c>
      <c r="I481" s="305" t="str">
        <f t="shared" si="142"/>
        <v/>
      </c>
      <c r="J481" s="305" t="str">
        <f t="shared" si="143"/>
        <v/>
      </c>
      <c r="K481" s="305" t="str">
        <f t="shared" si="144"/>
        <v/>
      </c>
      <c r="L481" s="305" t="str">
        <f t="shared" si="145"/>
        <v/>
      </c>
      <c r="M481" s="314" t="str">
        <f t="shared" si="146"/>
        <v/>
      </c>
      <c r="N481" s="305" t="str">
        <f t="shared" si="147"/>
        <v/>
      </c>
      <c r="O481" s="327" t="e">
        <f t="shared" si="138"/>
        <v>#NUM!</v>
      </c>
      <c r="P481" s="305"/>
      <c r="Q481" s="303">
        <f t="shared" si="137"/>
        <v>0</v>
      </c>
      <c r="R481" s="304">
        <f t="shared" si="141"/>
        <v>-374</v>
      </c>
      <c r="S481" s="305" t="str">
        <f t="shared" si="148"/>
        <v/>
      </c>
      <c r="T481" s="305" t="str">
        <f t="shared" si="149"/>
        <v/>
      </c>
      <c r="U481" s="305" t="str">
        <f t="shared" si="150"/>
        <v/>
      </c>
      <c r="V481" s="305" t="str">
        <f t="shared" si="151"/>
        <v/>
      </c>
      <c r="W481" s="314" t="str">
        <f t="shared" si="152"/>
        <v/>
      </c>
      <c r="X481" s="314" t="str">
        <f t="shared" si="153"/>
        <v/>
      </c>
      <c r="Y481" s="326" t="str">
        <f t="shared" si="139"/>
        <v/>
      </c>
    </row>
    <row r="482" spans="7:25" x14ac:dyDescent="0.25">
      <c r="G482" s="303">
        <f t="shared" si="136"/>
        <v>0</v>
      </c>
      <c r="H482" s="304">
        <f t="shared" si="140"/>
        <v>475</v>
      </c>
      <c r="I482" s="305" t="str">
        <f t="shared" si="142"/>
        <v/>
      </c>
      <c r="J482" s="305" t="str">
        <f t="shared" si="143"/>
        <v/>
      </c>
      <c r="K482" s="305" t="str">
        <f t="shared" si="144"/>
        <v/>
      </c>
      <c r="L482" s="305" t="str">
        <f t="shared" si="145"/>
        <v/>
      </c>
      <c r="M482" s="314" t="str">
        <f t="shared" si="146"/>
        <v/>
      </c>
      <c r="N482" s="305" t="str">
        <f t="shared" si="147"/>
        <v/>
      </c>
      <c r="O482" s="327" t="e">
        <f t="shared" si="138"/>
        <v>#NUM!</v>
      </c>
      <c r="P482" s="305"/>
      <c r="Q482" s="303">
        <f t="shared" si="137"/>
        <v>0</v>
      </c>
      <c r="R482" s="304">
        <f t="shared" si="141"/>
        <v>-375</v>
      </c>
      <c r="S482" s="305" t="str">
        <f t="shared" si="148"/>
        <v/>
      </c>
      <c r="T482" s="305" t="str">
        <f t="shared" si="149"/>
        <v/>
      </c>
      <c r="U482" s="305" t="str">
        <f t="shared" si="150"/>
        <v/>
      </c>
      <c r="V482" s="305" t="str">
        <f t="shared" si="151"/>
        <v/>
      </c>
      <c r="W482" s="314" t="str">
        <f t="shared" si="152"/>
        <v/>
      </c>
      <c r="X482" s="314" t="str">
        <f t="shared" si="153"/>
        <v/>
      </c>
      <c r="Y482" s="326" t="str">
        <f t="shared" si="139"/>
        <v/>
      </c>
    </row>
    <row r="483" spans="7:25" x14ac:dyDescent="0.25">
      <c r="G483" s="303">
        <f t="shared" si="136"/>
        <v>0</v>
      </c>
      <c r="H483" s="304">
        <f t="shared" si="140"/>
        <v>476</v>
      </c>
      <c r="I483" s="305" t="str">
        <f t="shared" si="142"/>
        <v/>
      </c>
      <c r="J483" s="305" t="str">
        <f t="shared" si="143"/>
        <v/>
      </c>
      <c r="K483" s="305" t="str">
        <f t="shared" si="144"/>
        <v/>
      </c>
      <c r="L483" s="305" t="str">
        <f t="shared" si="145"/>
        <v/>
      </c>
      <c r="M483" s="314" t="str">
        <f t="shared" si="146"/>
        <v/>
      </c>
      <c r="N483" s="305" t="str">
        <f t="shared" si="147"/>
        <v/>
      </c>
      <c r="O483" s="327" t="e">
        <f t="shared" si="138"/>
        <v>#NUM!</v>
      </c>
      <c r="P483" s="305"/>
      <c r="Q483" s="303">
        <f t="shared" si="137"/>
        <v>0</v>
      </c>
      <c r="R483" s="304">
        <f t="shared" si="141"/>
        <v>-376</v>
      </c>
      <c r="S483" s="305" t="str">
        <f t="shared" si="148"/>
        <v/>
      </c>
      <c r="T483" s="305" t="str">
        <f t="shared" si="149"/>
        <v/>
      </c>
      <c r="U483" s="305" t="str">
        <f t="shared" si="150"/>
        <v/>
      </c>
      <c r="V483" s="305" t="str">
        <f t="shared" si="151"/>
        <v/>
      </c>
      <c r="W483" s="314" t="str">
        <f t="shared" si="152"/>
        <v/>
      </c>
      <c r="X483" s="314" t="str">
        <f t="shared" si="153"/>
        <v/>
      </c>
      <c r="Y483" s="326" t="str">
        <f t="shared" si="139"/>
        <v/>
      </c>
    </row>
    <row r="484" spans="7:25" x14ac:dyDescent="0.25">
      <c r="G484" s="303">
        <f t="shared" si="136"/>
        <v>0</v>
      </c>
      <c r="H484" s="304">
        <f t="shared" si="140"/>
        <v>477</v>
      </c>
      <c r="I484" s="305" t="str">
        <f t="shared" si="142"/>
        <v/>
      </c>
      <c r="J484" s="305" t="str">
        <f t="shared" si="143"/>
        <v/>
      </c>
      <c r="K484" s="305" t="str">
        <f t="shared" si="144"/>
        <v/>
      </c>
      <c r="L484" s="305" t="str">
        <f t="shared" si="145"/>
        <v/>
      </c>
      <c r="M484" s="314" t="str">
        <f t="shared" si="146"/>
        <v/>
      </c>
      <c r="N484" s="305" t="str">
        <f t="shared" si="147"/>
        <v/>
      </c>
      <c r="O484" s="327" t="e">
        <f t="shared" si="138"/>
        <v>#NUM!</v>
      </c>
      <c r="P484" s="305"/>
      <c r="Q484" s="303">
        <f t="shared" si="137"/>
        <v>0</v>
      </c>
      <c r="R484" s="304">
        <f t="shared" si="141"/>
        <v>-377</v>
      </c>
      <c r="S484" s="305" t="str">
        <f t="shared" si="148"/>
        <v/>
      </c>
      <c r="T484" s="305" t="str">
        <f t="shared" si="149"/>
        <v/>
      </c>
      <c r="U484" s="305" t="str">
        <f t="shared" si="150"/>
        <v/>
      </c>
      <c r="V484" s="305" t="str">
        <f t="shared" si="151"/>
        <v/>
      </c>
      <c r="W484" s="314" t="str">
        <f t="shared" si="152"/>
        <v/>
      </c>
      <c r="X484" s="314" t="str">
        <f t="shared" si="153"/>
        <v/>
      </c>
      <c r="Y484" s="326" t="str">
        <f t="shared" si="139"/>
        <v/>
      </c>
    </row>
    <row r="485" spans="7:25" x14ac:dyDescent="0.25">
      <c r="G485" s="303">
        <f t="shared" si="136"/>
        <v>0</v>
      </c>
      <c r="H485" s="304">
        <f t="shared" si="140"/>
        <v>478</v>
      </c>
      <c r="I485" s="305" t="str">
        <f t="shared" si="142"/>
        <v/>
      </c>
      <c r="J485" s="305" t="str">
        <f t="shared" si="143"/>
        <v/>
      </c>
      <c r="K485" s="305" t="str">
        <f t="shared" si="144"/>
        <v/>
      </c>
      <c r="L485" s="305" t="str">
        <f t="shared" si="145"/>
        <v/>
      </c>
      <c r="M485" s="314" t="str">
        <f t="shared" si="146"/>
        <v/>
      </c>
      <c r="N485" s="305" t="str">
        <f t="shared" si="147"/>
        <v/>
      </c>
      <c r="O485" s="327" t="e">
        <f t="shared" si="138"/>
        <v>#NUM!</v>
      </c>
      <c r="P485" s="305"/>
      <c r="Q485" s="303">
        <f t="shared" si="137"/>
        <v>0</v>
      </c>
      <c r="R485" s="304">
        <f t="shared" si="141"/>
        <v>-378</v>
      </c>
      <c r="S485" s="305" t="str">
        <f t="shared" si="148"/>
        <v/>
      </c>
      <c r="T485" s="305" t="str">
        <f t="shared" si="149"/>
        <v/>
      </c>
      <c r="U485" s="305" t="str">
        <f t="shared" si="150"/>
        <v/>
      </c>
      <c r="V485" s="305" t="str">
        <f t="shared" si="151"/>
        <v/>
      </c>
      <c r="W485" s="314" t="str">
        <f t="shared" si="152"/>
        <v/>
      </c>
      <c r="X485" s="314" t="str">
        <f t="shared" si="153"/>
        <v/>
      </c>
      <c r="Y485" s="326" t="str">
        <f t="shared" si="139"/>
        <v/>
      </c>
    </row>
    <row r="486" spans="7:25" x14ac:dyDescent="0.25">
      <c r="G486" s="303">
        <f t="shared" si="136"/>
        <v>0</v>
      </c>
      <c r="H486" s="304">
        <f t="shared" si="140"/>
        <v>479</v>
      </c>
      <c r="I486" s="305" t="str">
        <f t="shared" si="142"/>
        <v/>
      </c>
      <c r="J486" s="305" t="str">
        <f t="shared" si="143"/>
        <v/>
      </c>
      <c r="K486" s="305" t="str">
        <f t="shared" si="144"/>
        <v/>
      </c>
      <c r="L486" s="305" t="str">
        <f t="shared" si="145"/>
        <v/>
      </c>
      <c r="M486" s="314" t="str">
        <f t="shared" si="146"/>
        <v/>
      </c>
      <c r="N486" s="305" t="str">
        <f t="shared" si="147"/>
        <v/>
      </c>
      <c r="O486" s="327" t="e">
        <f t="shared" si="138"/>
        <v>#NUM!</v>
      </c>
      <c r="P486" s="305"/>
      <c r="Q486" s="303">
        <f t="shared" si="137"/>
        <v>0</v>
      </c>
      <c r="R486" s="304">
        <f t="shared" si="141"/>
        <v>-379</v>
      </c>
      <c r="S486" s="305" t="str">
        <f t="shared" si="148"/>
        <v/>
      </c>
      <c r="T486" s="305" t="str">
        <f t="shared" si="149"/>
        <v/>
      </c>
      <c r="U486" s="305" t="str">
        <f t="shared" si="150"/>
        <v/>
      </c>
      <c r="V486" s="305" t="str">
        <f t="shared" si="151"/>
        <v/>
      </c>
      <c r="W486" s="314" t="str">
        <f t="shared" si="152"/>
        <v/>
      </c>
      <c r="X486" s="314" t="str">
        <f t="shared" si="153"/>
        <v/>
      </c>
      <c r="Y486" s="326" t="str">
        <f t="shared" si="139"/>
        <v/>
      </c>
    </row>
    <row r="487" spans="7:25" x14ac:dyDescent="0.25">
      <c r="G487" s="303">
        <f t="shared" si="136"/>
        <v>0</v>
      </c>
      <c r="H487" s="304">
        <f t="shared" si="140"/>
        <v>480</v>
      </c>
      <c r="I487" s="305" t="str">
        <f t="shared" si="142"/>
        <v/>
      </c>
      <c r="J487" s="305" t="str">
        <f t="shared" si="143"/>
        <v/>
      </c>
      <c r="K487" s="305" t="str">
        <f t="shared" si="144"/>
        <v/>
      </c>
      <c r="L487" s="305" t="str">
        <f t="shared" si="145"/>
        <v/>
      </c>
      <c r="M487" s="314" t="str">
        <f t="shared" si="146"/>
        <v/>
      </c>
      <c r="N487" s="305" t="str">
        <f t="shared" si="147"/>
        <v/>
      </c>
      <c r="O487" s="327" t="e">
        <f t="shared" si="138"/>
        <v>#NUM!</v>
      </c>
      <c r="P487" s="305"/>
      <c r="Q487" s="303">
        <f t="shared" si="137"/>
        <v>0</v>
      </c>
      <c r="R487" s="304">
        <f t="shared" si="141"/>
        <v>-380</v>
      </c>
      <c r="S487" s="305" t="str">
        <f t="shared" si="148"/>
        <v/>
      </c>
      <c r="T487" s="305" t="str">
        <f t="shared" si="149"/>
        <v/>
      </c>
      <c r="U487" s="305" t="str">
        <f t="shared" si="150"/>
        <v/>
      </c>
      <c r="V487" s="305" t="str">
        <f t="shared" si="151"/>
        <v/>
      </c>
      <c r="W487" s="314" t="str">
        <f t="shared" si="152"/>
        <v/>
      </c>
      <c r="X487" s="314" t="str">
        <f t="shared" si="153"/>
        <v/>
      </c>
      <c r="Y487" s="326" t="str">
        <f t="shared" si="139"/>
        <v/>
      </c>
    </row>
    <row r="488" spans="7:25" x14ac:dyDescent="0.25">
      <c r="G488" s="303">
        <f t="shared" si="136"/>
        <v>0</v>
      </c>
      <c r="H488" s="304">
        <f t="shared" si="140"/>
        <v>481</v>
      </c>
      <c r="I488" s="305" t="str">
        <f t="shared" si="142"/>
        <v/>
      </c>
      <c r="J488" s="305" t="str">
        <f t="shared" si="143"/>
        <v/>
      </c>
      <c r="K488" s="305" t="str">
        <f t="shared" si="144"/>
        <v/>
      </c>
      <c r="L488" s="305" t="str">
        <f t="shared" si="145"/>
        <v/>
      </c>
      <c r="M488" s="314" t="str">
        <f t="shared" si="146"/>
        <v/>
      </c>
      <c r="N488" s="305" t="str">
        <f t="shared" si="147"/>
        <v/>
      </c>
      <c r="O488" s="327" t="e">
        <f t="shared" si="138"/>
        <v>#NUM!</v>
      </c>
      <c r="P488" s="305"/>
      <c r="Q488" s="303">
        <f t="shared" si="137"/>
        <v>0</v>
      </c>
      <c r="R488" s="304">
        <f t="shared" si="141"/>
        <v>-381</v>
      </c>
      <c r="S488" s="305" t="str">
        <f t="shared" si="148"/>
        <v/>
      </c>
      <c r="T488" s="305" t="str">
        <f t="shared" si="149"/>
        <v/>
      </c>
      <c r="U488" s="305" t="str">
        <f t="shared" si="150"/>
        <v/>
      </c>
      <c r="V488" s="305" t="str">
        <f t="shared" si="151"/>
        <v/>
      </c>
      <c r="W488" s="314" t="str">
        <f t="shared" si="152"/>
        <v/>
      </c>
      <c r="X488" s="314" t="str">
        <f t="shared" si="153"/>
        <v/>
      </c>
      <c r="Y488" s="326" t="str">
        <f t="shared" si="139"/>
        <v/>
      </c>
    </row>
    <row r="489" spans="7:25" x14ac:dyDescent="0.25">
      <c r="G489" s="303">
        <f t="shared" si="136"/>
        <v>0</v>
      </c>
      <c r="H489" s="304">
        <f t="shared" si="140"/>
        <v>482</v>
      </c>
      <c r="I489" s="305" t="str">
        <f t="shared" si="142"/>
        <v/>
      </c>
      <c r="J489" s="305" t="str">
        <f t="shared" si="143"/>
        <v/>
      </c>
      <c r="K489" s="305" t="str">
        <f t="shared" si="144"/>
        <v/>
      </c>
      <c r="L489" s="305" t="str">
        <f t="shared" si="145"/>
        <v/>
      </c>
      <c r="M489" s="314" t="str">
        <f t="shared" si="146"/>
        <v/>
      </c>
      <c r="N489" s="305" t="str">
        <f t="shared" si="147"/>
        <v/>
      </c>
      <c r="O489" s="327" t="e">
        <f t="shared" si="138"/>
        <v>#NUM!</v>
      </c>
      <c r="P489" s="305"/>
      <c r="Q489" s="303">
        <f t="shared" si="137"/>
        <v>0</v>
      </c>
      <c r="R489" s="304">
        <f t="shared" si="141"/>
        <v>-382</v>
      </c>
      <c r="S489" s="305" t="str">
        <f t="shared" si="148"/>
        <v/>
      </c>
      <c r="T489" s="305" t="str">
        <f t="shared" si="149"/>
        <v/>
      </c>
      <c r="U489" s="305" t="str">
        <f t="shared" si="150"/>
        <v/>
      </c>
      <c r="V489" s="305" t="str">
        <f t="shared" si="151"/>
        <v/>
      </c>
      <c r="W489" s="314" t="str">
        <f t="shared" si="152"/>
        <v/>
      </c>
      <c r="X489" s="314" t="str">
        <f t="shared" si="153"/>
        <v/>
      </c>
      <c r="Y489" s="326" t="str">
        <f t="shared" si="139"/>
        <v/>
      </c>
    </row>
    <row r="490" spans="7:25" x14ac:dyDescent="0.25">
      <c r="G490" s="303">
        <f t="shared" si="136"/>
        <v>0</v>
      </c>
      <c r="H490" s="304">
        <f t="shared" si="140"/>
        <v>483</v>
      </c>
      <c r="I490" s="305" t="str">
        <f t="shared" si="142"/>
        <v/>
      </c>
      <c r="J490" s="305" t="str">
        <f t="shared" si="143"/>
        <v/>
      </c>
      <c r="K490" s="305" t="str">
        <f t="shared" si="144"/>
        <v/>
      </c>
      <c r="L490" s="305" t="str">
        <f t="shared" si="145"/>
        <v/>
      </c>
      <c r="M490" s="314" t="str">
        <f t="shared" si="146"/>
        <v/>
      </c>
      <c r="N490" s="305" t="str">
        <f t="shared" si="147"/>
        <v/>
      </c>
      <c r="O490" s="327" t="e">
        <f t="shared" si="138"/>
        <v>#NUM!</v>
      </c>
      <c r="P490" s="305"/>
      <c r="Q490" s="303">
        <f t="shared" si="137"/>
        <v>0</v>
      </c>
      <c r="R490" s="304">
        <f t="shared" si="141"/>
        <v>-383</v>
      </c>
      <c r="S490" s="305" t="str">
        <f t="shared" si="148"/>
        <v/>
      </c>
      <c r="T490" s="305" t="str">
        <f t="shared" si="149"/>
        <v/>
      </c>
      <c r="U490" s="305" t="str">
        <f t="shared" si="150"/>
        <v/>
      </c>
      <c r="V490" s="305" t="str">
        <f t="shared" si="151"/>
        <v/>
      </c>
      <c r="W490" s="314" t="str">
        <f t="shared" si="152"/>
        <v/>
      </c>
      <c r="X490" s="314" t="str">
        <f t="shared" si="153"/>
        <v/>
      </c>
      <c r="Y490" s="326" t="str">
        <f t="shared" si="139"/>
        <v/>
      </c>
    </row>
    <row r="491" spans="7:25" x14ac:dyDescent="0.25">
      <c r="G491" s="303">
        <f t="shared" si="136"/>
        <v>0</v>
      </c>
      <c r="H491" s="304">
        <f t="shared" si="140"/>
        <v>484</v>
      </c>
      <c r="I491" s="305" t="str">
        <f t="shared" si="142"/>
        <v/>
      </c>
      <c r="J491" s="305" t="str">
        <f t="shared" si="143"/>
        <v/>
      </c>
      <c r="K491" s="305" t="str">
        <f t="shared" si="144"/>
        <v/>
      </c>
      <c r="L491" s="305" t="str">
        <f t="shared" si="145"/>
        <v/>
      </c>
      <c r="M491" s="314" t="str">
        <f t="shared" si="146"/>
        <v/>
      </c>
      <c r="N491" s="305" t="str">
        <f t="shared" si="147"/>
        <v/>
      </c>
      <c r="O491" s="327" t="e">
        <f t="shared" si="138"/>
        <v>#NUM!</v>
      </c>
      <c r="P491" s="305"/>
      <c r="Q491" s="303">
        <f t="shared" si="137"/>
        <v>0</v>
      </c>
      <c r="R491" s="304">
        <f t="shared" si="141"/>
        <v>-384</v>
      </c>
      <c r="S491" s="305" t="str">
        <f t="shared" si="148"/>
        <v/>
      </c>
      <c r="T491" s="305" t="str">
        <f t="shared" si="149"/>
        <v/>
      </c>
      <c r="U491" s="305" t="str">
        <f t="shared" si="150"/>
        <v/>
      </c>
      <c r="V491" s="305" t="str">
        <f t="shared" si="151"/>
        <v/>
      </c>
      <c r="W491" s="314" t="str">
        <f t="shared" si="152"/>
        <v/>
      </c>
      <c r="X491" s="314" t="str">
        <f t="shared" si="153"/>
        <v/>
      </c>
      <c r="Y491" s="326" t="str">
        <f t="shared" si="139"/>
        <v/>
      </c>
    </row>
    <row r="492" spans="7:25" x14ac:dyDescent="0.25">
      <c r="G492" s="303">
        <f t="shared" si="136"/>
        <v>0</v>
      </c>
      <c r="H492" s="304">
        <f t="shared" si="140"/>
        <v>485</v>
      </c>
      <c r="I492" s="305" t="str">
        <f t="shared" si="142"/>
        <v/>
      </c>
      <c r="J492" s="305" t="str">
        <f t="shared" si="143"/>
        <v/>
      </c>
      <c r="K492" s="305" t="str">
        <f t="shared" si="144"/>
        <v/>
      </c>
      <c r="L492" s="305" t="str">
        <f t="shared" si="145"/>
        <v/>
      </c>
      <c r="M492" s="314" t="str">
        <f t="shared" si="146"/>
        <v/>
      </c>
      <c r="N492" s="305" t="str">
        <f t="shared" si="147"/>
        <v/>
      </c>
      <c r="O492" s="327" t="e">
        <f t="shared" si="138"/>
        <v>#NUM!</v>
      </c>
      <c r="P492" s="305"/>
      <c r="Q492" s="303">
        <f t="shared" si="137"/>
        <v>0</v>
      </c>
      <c r="R492" s="304">
        <f t="shared" si="141"/>
        <v>-385</v>
      </c>
      <c r="S492" s="305" t="str">
        <f t="shared" si="148"/>
        <v/>
      </c>
      <c r="T492" s="305" t="str">
        <f t="shared" si="149"/>
        <v/>
      </c>
      <c r="U492" s="305" t="str">
        <f t="shared" si="150"/>
        <v/>
      </c>
      <c r="V492" s="305" t="str">
        <f t="shared" si="151"/>
        <v/>
      </c>
      <c r="W492" s="314" t="str">
        <f t="shared" si="152"/>
        <v/>
      </c>
      <c r="X492" s="314" t="str">
        <f t="shared" si="153"/>
        <v/>
      </c>
      <c r="Y492" s="326" t="str">
        <f t="shared" si="139"/>
        <v/>
      </c>
    </row>
    <row r="493" spans="7:25" x14ac:dyDescent="0.25">
      <c r="G493" s="303">
        <f t="shared" si="136"/>
        <v>0</v>
      </c>
      <c r="H493" s="304">
        <f t="shared" si="140"/>
        <v>486</v>
      </c>
      <c r="I493" s="305" t="str">
        <f t="shared" si="142"/>
        <v/>
      </c>
      <c r="J493" s="305" t="str">
        <f t="shared" si="143"/>
        <v/>
      </c>
      <c r="K493" s="305" t="str">
        <f t="shared" si="144"/>
        <v/>
      </c>
      <c r="L493" s="305" t="str">
        <f t="shared" si="145"/>
        <v/>
      </c>
      <c r="M493" s="314" t="str">
        <f t="shared" si="146"/>
        <v/>
      </c>
      <c r="N493" s="305" t="str">
        <f t="shared" si="147"/>
        <v/>
      </c>
      <c r="O493" s="327" t="e">
        <f t="shared" si="138"/>
        <v>#NUM!</v>
      </c>
      <c r="P493" s="305"/>
      <c r="Q493" s="303">
        <f t="shared" si="137"/>
        <v>0</v>
      </c>
      <c r="R493" s="304">
        <f t="shared" si="141"/>
        <v>-386</v>
      </c>
      <c r="S493" s="305" t="str">
        <f t="shared" si="148"/>
        <v/>
      </c>
      <c r="T493" s="305" t="str">
        <f t="shared" si="149"/>
        <v/>
      </c>
      <c r="U493" s="305" t="str">
        <f t="shared" si="150"/>
        <v/>
      </c>
      <c r="V493" s="305" t="str">
        <f t="shared" si="151"/>
        <v/>
      </c>
      <c r="W493" s="314" t="str">
        <f t="shared" si="152"/>
        <v/>
      </c>
      <c r="X493" s="314" t="str">
        <f t="shared" si="153"/>
        <v/>
      </c>
      <c r="Y493" s="326" t="str">
        <f t="shared" si="139"/>
        <v/>
      </c>
    </row>
    <row r="494" spans="7:25" x14ac:dyDescent="0.25">
      <c r="G494" s="303">
        <f t="shared" si="136"/>
        <v>0</v>
      </c>
      <c r="H494" s="304">
        <f t="shared" si="140"/>
        <v>487</v>
      </c>
      <c r="I494" s="305" t="str">
        <f t="shared" si="142"/>
        <v/>
      </c>
      <c r="J494" s="305" t="str">
        <f t="shared" si="143"/>
        <v/>
      </c>
      <c r="K494" s="305" t="str">
        <f t="shared" si="144"/>
        <v/>
      </c>
      <c r="L494" s="305" t="str">
        <f t="shared" si="145"/>
        <v/>
      </c>
      <c r="M494" s="314" t="str">
        <f t="shared" si="146"/>
        <v/>
      </c>
      <c r="N494" s="305" t="str">
        <f t="shared" si="147"/>
        <v/>
      </c>
      <c r="O494" s="327" t="e">
        <f t="shared" si="138"/>
        <v>#NUM!</v>
      </c>
      <c r="P494" s="305"/>
      <c r="Q494" s="303">
        <f t="shared" si="137"/>
        <v>0</v>
      </c>
      <c r="R494" s="304">
        <f t="shared" si="141"/>
        <v>-387</v>
      </c>
      <c r="S494" s="305" t="str">
        <f t="shared" si="148"/>
        <v/>
      </c>
      <c r="T494" s="305" t="str">
        <f t="shared" si="149"/>
        <v/>
      </c>
      <c r="U494" s="305" t="str">
        <f t="shared" si="150"/>
        <v/>
      </c>
      <c r="V494" s="305" t="str">
        <f t="shared" si="151"/>
        <v/>
      </c>
      <c r="W494" s="314" t="str">
        <f t="shared" si="152"/>
        <v/>
      </c>
      <c r="X494" s="314" t="str">
        <f t="shared" si="153"/>
        <v/>
      </c>
      <c r="Y494" s="326" t="str">
        <f t="shared" si="139"/>
        <v/>
      </c>
    </row>
    <row r="495" spans="7:25" x14ac:dyDescent="0.25">
      <c r="G495" s="303">
        <f t="shared" si="136"/>
        <v>0</v>
      </c>
      <c r="H495" s="304">
        <f t="shared" si="140"/>
        <v>488</v>
      </c>
      <c r="I495" s="305" t="str">
        <f t="shared" si="142"/>
        <v/>
      </c>
      <c r="J495" s="305" t="str">
        <f t="shared" si="143"/>
        <v/>
      </c>
      <c r="K495" s="305" t="str">
        <f t="shared" si="144"/>
        <v/>
      </c>
      <c r="L495" s="305" t="str">
        <f t="shared" si="145"/>
        <v/>
      </c>
      <c r="M495" s="314" t="str">
        <f t="shared" si="146"/>
        <v/>
      </c>
      <c r="N495" s="305" t="str">
        <f t="shared" si="147"/>
        <v/>
      </c>
      <c r="O495" s="327" t="e">
        <f t="shared" si="138"/>
        <v>#NUM!</v>
      </c>
      <c r="P495" s="305"/>
      <c r="Q495" s="303">
        <f t="shared" si="137"/>
        <v>0</v>
      </c>
      <c r="R495" s="304">
        <f t="shared" si="141"/>
        <v>-388</v>
      </c>
      <c r="S495" s="305" t="str">
        <f t="shared" si="148"/>
        <v/>
      </c>
      <c r="T495" s="305" t="str">
        <f t="shared" si="149"/>
        <v/>
      </c>
      <c r="U495" s="305" t="str">
        <f t="shared" si="150"/>
        <v/>
      </c>
      <c r="V495" s="305" t="str">
        <f t="shared" si="151"/>
        <v/>
      </c>
      <c r="W495" s="314" t="str">
        <f t="shared" si="152"/>
        <v/>
      </c>
      <c r="X495" s="314" t="str">
        <f t="shared" si="153"/>
        <v/>
      </c>
      <c r="Y495" s="326" t="str">
        <f t="shared" si="139"/>
        <v/>
      </c>
    </row>
    <row r="496" spans="7:25" x14ac:dyDescent="0.25">
      <c r="G496" s="303">
        <f t="shared" si="136"/>
        <v>0</v>
      </c>
      <c r="H496" s="304">
        <f t="shared" si="140"/>
        <v>489</v>
      </c>
      <c r="I496" s="305" t="str">
        <f t="shared" si="142"/>
        <v/>
      </c>
      <c r="J496" s="305" t="str">
        <f t="shared" si="143"/>
        <v/>
      </c>
      <c r="K496" s="305" t="str">
        <f t="shared" si="144"/>
        <v/>
      </c>
      <c r="L496" s="305" t="str">
        <f t="shared" si="145"/>
        <v/>
      </c>
      <c r="M496" s="314" t="str">
        <f t="shared" si="146"/>
        <v/>
      </c>
      <c r="N496" s="305" t="str">
        <f t="shared" si="147"/>
        <v/>
      </c>
      <c r="O496" s="327" t="e">
        <f t="shared" si="138"/>
        <v>#NUM!</v>
      </c>
      <c r="P496" s="305"/>
      <c r="Q496" s="303">
        <f t="shared" si="137"/>
        <v>0</v>
      </c>
      <c r="R496" s="304">
        <f t="shared" si="141"/>
        <v>-389</v>
      </c>
      <c r="S496" s="305" t="str">
        <f t="shared" si="148"/>
        <v/>
      </c>
      <c r="T496" s="305" t="str">
        <f t="shared" si="149"/>
        <v/>
      </c>
      <c r="U496" s="305" t="str">
        <f t="shared" si="150"/>
        <v/>
      </c>
      <c r="V496" s="305" t="str">
        <f t="shared" si="151"/>
        <v/>
      </c>
      <c r="W496" s="314" t="str">
        <f t="shared" si="152"/>
        <v/>
      </c>
      <c r="X496" s="314" t="str">
        <f t="shared" si="153"/>
        <v/>
      </c>
      <c r="Y496" s="326" t="str">
        <f t="shared" si="139"/>
        <v/>
      </c>
    </row>
    <row r="497" spans="7:25" x14ac:dyDescent="0.25">
      <c r="G497" s="303">
        <f t="shared" si="136"/>
        <v>0</v>
      </c>
      <c r="H497" s="304">
        <f t="shared" si="140"/>
        <v>490</v>
      </c>
      <c r="I497" s="305" t="str">
        <f t="shared" si="142"/>
        <v/>
      </c>
      <c r="J497" s="305" t="str">
        <f t="shared" si="143"/>
        <v/>
      </c>
      <c r="K497" s="305" t="str">
        <f t="shared" si="144"/>
        <v/>
      </c>
      <c r="L497" s="305" t="str">
        <f t="shared" si="145"/>
        <v/>
      </c>
      <c r="M497" s="314" t="str">
        <f t="shared" si="146"/>
        <v/>
      </c>
      <c r="N497" s="305" t="str">
        <f t="shared" si="147"/>
        <v/>
      </c>
      <c r="O497" s="327" t="e">
        <f t="shared" si="138"/>
        <v>#NUM!</v>
      </c>
      <c r="P497" s="305"/>
      <c r="Q497" s="303">
        <f t="shared" si="137"/>
        <v>0</v>
      </c>
      <c r="R497" s="304">
        <f t="shared" si="141"/>
        <v>-390</v>
      </c>
      <c r="S497" s="305" t="str">
        <f t="shared" si="148"/>
        <v/>
      </c>
      <c r="T497" s="305" t="str">
        <f t="shared" si="149"/>
        <v/>
      </c>
      <c r="U497" s="305" t="str">
        <f t="shared" si="150"/>
        <v/>
      </c>
      <c r="V497" s="305" t="str">
        <f t="shared" si="151"/>
        <v/>
      </c>
      <c r="W497" s="314" t="str">
        <f t="shared" si="152"/>
        <v/>
      </c>
      <c r="X497" s="314" t="str">
        <f t="shared" si="153"/>
        <v/>
      </c>
      <c r="Y497" s="326" t="str">
        <f t="shared" si="139"/>
        <v/>
      </c>
    </row>
    <row r="498" spans="7:25" x14ac:dyDescent="0.25">
      <c r="G498" s="303">
        <f t="shared" si="136"/>
        <v>0</v>
      </c>
      <c r="H498" s="304">
        <f t="shared" si="140"/>
        <v>491</v>
      </c>
      <c r="I498" s="305" t="str">
        <f t="shared" si="142"/>
        <v/>
      </c>
      <c r="J498" s="305" t="str">
        <f t="shared" si="143"/>
        <v/>
      </c>
      <c r="K498" s="305" t="str">
        <f t="shared" si="144"/>
        <v/>
      </c>
      <c r="L498" s="305" t="str">
        <f t="shared" si="145"/>
        <v/>
      </c>
      <c r="M498" s="314" t="str">
        <f t="shared" si="146"/>
        <v/>
      </c>
      <c r="N498" s="305" t="str">
        <f t="shared" si="147"/>
        <v/>
      </c>
      <c r="O498" s="327" t="e">
        <f t="shared" si="138"/>
        <v>#NUM!</v>
      </c>
      <c r="P498" s="305"/>
      <c r="Q498" s="303">
        <f t="shared" si="137"/>
        <v>0</v>
      </c>
      <c r="R498" s="304">
        <f t="shared" si="141"/>
        <v>-391</v>
      </c>
      <c r="S498" s="305" t="str">
        <f t="shared" si="148"/>
        <v/>
      </c>
      <c r="T498" s="305" t="str">
        <f t="shared" si="149"/>
        <v/>
      </c>
      <c r="U498" s="305" t="str">
        <f t="shared" si="150"/>
        <v/>
      </c>
      <c r="V498" s="305" t="str">
        <f t="shared" si="151"/>
        <v/>
      </c>
      <c r="W498" s="314" t="str">
        <f t="shared" si="152"/>
        <v/>
      </c>
      <c r="X498" s="314" t="str">
        <f t="shared" si="153"/>
        <v/>
      </c>
      <c r="Y498" s="326" t="str">
        <f t="shared" si="139"/>
        <v/>
      </c>
    </row>
    <row r="499" spans="7:25" x14ac:dyDescent="0.25">
      <c r="G499" s="303">
        <f t="shared" si="136"/>
        <v>0</v>
      </c>
      <c r="H499" s="304">
        <f t="shared" si="140"/>
        <v>492</v>
      </c>
      <c r="I499" s="305" t="str">
        <f t="shared" si="142"/>
        <v/>
      </c>
      <c r="J499" s="305" t="str">
        <f t="shared" si="143"/>
        <v/>
      </c>
      <c r="K499" s="305" t="str">
        <f t="shared" si="144"/>
        <v/>
      </c>
      <c r="L499" s="305" t="str">
        <f t="shared" si="145"/>
        <v/>
      </c>
      <c r="M499" s="314" t="str">
        <f t="shared" si="146"/>
        <v/>
      </c>
      <c r="N499" s="305" t="str">
        <f t="shared" si="147"/>
        <v/>
      </c>
      <c r="O499" s="327" t="e">
        <f t="shared" si="138"/>
        <v>#NUM!</v>
      </c>
      <c r="P499" s="305"/>
      <c r="Q499" s="303">
        <f t="shared" si="137"/>
        <v>0</v>
      </c>
      <c r="R499" s="304">
        <f t="shared" si="141"/>
        <v>-392</v>
      </c>
      <c r="S499" s="305" t="str">
        <f t="shared" si="148"/>
        <v/>
      </c>
      <c r="T499" s="305" t="str">
        <f t="shared" si="149"/>
        <v/>
      </c>
      <c r="U499" s="305" t="str">
        <f t="shared" si="150"/>
        <v/>
      </c>
      <c r="V499" s="305" t="str">
        <f t="shared" si="151"/>
        <v/>
      </c>
      <c r="W499" s="314" t="str">
        <f t="shared" si="152"/>
        <v/>
      </c>
      <c r="X499" s="314" t="str">
        <f t="shared" si="153"/>
        <v/>
      </c>
      <c r="Y499" s="326" t="str">
        <f t="shared" si="139"/>
        <v/>
      </c>
    </row>
    <row r="500" spans="7:25" x14ac:dyDescent="0.25">
      <c r="G500" s="303">
        <f t="shared" si="136"/>
        <v>0</v>
      </c>
      <c r="H500" s="304">
        <f t="shared" si="140"/>
        <v>493</v>
      </c>
      <c r="I500" s="305" t="str">
        <f t="shared" si="142"/>
        <v/>
      </c>
      <c r="J500" s="305" t="str">
        <f t="shared" si="143"/>
        <v/>
      </c>
      <c r="K500" s="305" t="str">
        <f t="shared" si="144"/>
        <v/>
      </c>
      <c r="L500" s="305" t="str">
        <f t="shared" si="145"/>
        <v/>
      </c>
      <c r="M500" s="314" t="str">
        <f t="shared" si="146"/>
        <v/>
      </c>
      <c r="N500" s="305" t="str">
        <f t="shared" si="147"/>
        <v/>
      </c>
      <c r="O500" s="327" t="e">
        <f t="shared" si="138"/>
        <v>#NUM!</v>
      </c>
      <c r="P500" s="305"/>
      <c r="Q500" s="303">
        <f t="shared" si="137"/>
        <v>0</v>
      </c>
      <c r="R500" s="304">
        <f t="shared" si="141"/>
        <v>-393</v>
      </c>
      <c r="S500" s="305" t="str">
        <f t="shared" si="148"/>
        <v/>
      </c>
      <c r="T500" s="305" t="str">
        <f t="shared" si="149"/>
        <v/>
      </c>
      <c r="U500" s="305" t="str">
        <f t="shared" si="150"/>
        <v/>
      </c>
      <c r="V500" s="305" t="str">
        <f t="shared" si="151"/>
        <v/>
      </c>
      <c r="W500" s="314" t="str">
        <f t="shared" si="152"/>
        <v/>
      </c>
      <c r="X500" s="314" t="str">
        <f t="shared" si="153"/>
        <v/>
      </c>
      <c r="Y500" s="326" t="str">
        <f t="shared" si="139"/>
        <v/>
      </c>
    </row>
    <row r="501" spans="7:25" x14ac:dyDescent="0.25">
      <c r="G501" s="303">
        <f t="shared" si="136"/>
        <v>0</v>
      </c>
      <c r="H501" s="304">
        <f t="shared" si="140"/>
        <v>494</v>
      </c>
      <c r="I501" s="305" t="str">
        <f t="shared" si="142"/>
        <v/>
      </c>
      <c r="J501" s="305" t="str">
        <f t="shared" si="143"/>
        <v/>
      </c>
      <c r="K501" s="305" t="str">
        <f t="shared" si="144"/>
        <v/>
      </c>
      <c r="L501" s="305" t="str">
        <f t="shared" si="145"/>
        <v/>
      </c>
      <c r="M501" s="314" t="str">
        <f t="shared" si="146"/>
        <v/>
      </c>
      <c r="N501" s="305" t="str">
        <f t="shared" si="147"/>
        <v/>
      </c>
      <c r="O501" s="327" t="e">
        <f t="shared" si="138"/>
        <v>#NUM!</v>
      </c>
      <c r="P501" s="305"/>
      <c r="Q501" s="303">
        <f t="shared" si="137"/>
        <v>0</v>
      </c>
      <c r="R501" s="304">
        <f t="shared" si="141"/>
        <v>-394</v>
      </c>
      <c r="S501" s="305" t="str">
        <f t="shared" si="148"/>
        <v/>
      </c>
      <c r="T501" s="305" t="str">
        <f t="shared" si="149"/>
        <v/>
      </c>
      <c r="U501" s="305" t="str">
        <f t="shared" si="150"/>
        <v/>
      </c>
      <c r="V501" s="305" t="str">
        <f t="shared" si="151"/>
        <v/>
      </c>
      <c r="W501" s="314" t="str">
        <f t="shared" si="152"/>
        <v/>
      </c>
      <c r="X501" s="314" t="str">
        <f t="shared" si="153"/>
        <v/>
      </c>
      <c r="Y501" s="326" t="str">
        <f t="shared" si="139"/>
        <v/>
      </c>
    </row>
    <row r="502" spans="7:25" x14ac:dyDescent="0.25">
      <c r="G502" s="303">
        <f t="shared" si="136"/>
        <v>0</v>
      </c>
      <c r="H502" s="304">
        <f t="shared" si="140"/>
        <v>495</v>
      </c>
      <c r="I502" s="305" t="str">
        <f t="shared" si="142"/>
        <v/>
      </c>
      <c r="J502" s="305" t="str">
        <f t="shared" si="143"/>
        <v/>
      </c>
      <c r="K502" s="305" t="str">
        <f t="shared" si="144"/>
        <v/>
      </c>
      <c r="L502" s="305" t="str">
        <f t="shared" si="145"/>
        <v/>
      </c>
      <c r="M502" s="314" t="str">
        <f t="shared" si="146"/>
        <v/>
      </c>
      <c r="N502" s="305" t="str">
        <f t="shared" si="147"/>
        <v/>
      </c>
      <c r="O502" s="327" t="e">
        <f t="shared" si="138"/>
        <v>#NUM!</v>
      </c>
      <c r="P502" s="305"/>
      <c r="Q502" s="303">
        <f t="shared" si="137"/>
        <v>0</v>
      </c>
      <c r="R502" s="304">
        <f t="shared" si="141"/>
        <v>-395</v>
      </c>
      <c r="S502" s="305" t="str">
        <f t="shared" si="148"/>
        <v/>
      </c>
      <c r="T502" s="305" t="str">
        <f t="shared" si="149"/>
        <v/>
      </c>
      <c r="U502" s="305" t="str">
        <f t="shared" si="150"/>
        <v/>
      </c>
      <c r="V502" s="305" t="str">
        <f t="shared" si="151"/>
        <v/>
      </c>
      <c r="W502" s="314" t="str">
        <f t="shared" si="152"/>
        <v/>
      </c>
      <c r="X502" s="314" t="str">
        <f t="shared" si="153"/>
        <v/>
      </c>
      <c r="Y502" s="326" t="str">
        <f t="shared" si="139"/>
        <v/>
      </c>
    </row>
    <row r="503" spans="7:25" x14ac:dyDescent="0.25">
      <c r="G503" s="303">
        <f t="shared" si="136"/>
        <v>0</v>
      </c>
      <c r="H503" s="304">
        <f t="shared" si="140"/>
        <v>496</v>
      </c>
      <c r="I503" s="305" t="str">
        <f t="shared" si="142"/>
        <v/>
      </c>
      <c r="J503" s="305" t="str">
        <f t="shared" si="143"/>
        <v/>
      </c>
      <c r="K503" s="305" t="str">
        <f t="shared" si="144"/>
        <v/>
      </c>
      <c r="L503" s="305" t="str">
        <f t="shared" si="145"/>
        <v/>
      </c>
      <c r="M503" s="314" t="str">
        <f t="shared" si="146"/>
        <v/>
      </c>
      <c r="N503" s="305" t="str">
        <f t="shared" si="147"/>
        <v/>
      </c>
      <c r="O503" s="327" t="e">
        <f t="shared" si="138"/>
        <v>#NUM!</v>
      </c>
      <c r="P503" s="305"/>
      <c r="Q503" s="303">
        <f t="shared" si="137"/>
        <v>0</v>
      </c>
      <c r="R503" s="304">
        <f t="shared" si="141"/>
        <v>-396</v>
      </c>
      <c r="S503" s="305" t="str">
        <f t="shared" si="148"/>
        <v/>
      </c>
      <c r="T503" s="305" t="str">
        <f t="shared" si="149"/>
        <v/>
      </c>
      <c r="U503" s="305" t="str">
        <f t="shared" si="150"/>
        <v/>
      </c>
      <c r="V503" s="305" t="str">
        <f t="shared" si="151"/>
        <v/>
      </c>
      <c r="W503" s="314" t="str">
        <f t="shared" si="152"/>
        <v/>
      </c>
      <c r="X503" s="314" t="str">
        <f t="shared" si="153"/>
        <v/>
      </c>
      <c r="Y503" s="326" t="str">
        <f t="shared" si="139"/>
        <v/>
      </c>
    </row>
    <row r="504" spans="7:25" x14ac:dyDescent="0.25">
      <c r="G504" s="303">
        <f t="shared" si="136"/>
        <v>0</v>
      </c>
      <c r="H504" s="304">
        <f t="shared" si="140"/>
        <v>497</v>
      </c>
      <c r="I504" s="305" t="str">
        <f t="shared" si="142"/>
        <v/>
      </c>
      <c r="J504" s="305" t="str">
        <f t="shared" si="143"/>
        <v/>
      </c>
      <c r="K504" s="305" t="str">
        <f t="shared" si="144"/>
        <v/>
      </c>
      <c r="L504" s="305" t="str">
        <f t="shared" si="145"/>
        <v/>
      </c>
      <c r="M504" s="314" t="str">
        <f t="shared" si="146"/>
        <v/>
      </c>
      <c r="N504" s="305" t="str">
        <f t="shared" si="147"/>
        <v/>
      </c>
      <c r="O504" s="327" t="e">
        <f t="shared" si="138"/>
        <v>#NUM!</v>
      </c>
      <c r="P504" s="305"/>
      <c r="Q504" s="303">
        <f t="shared" si="137"/>
        <v>0</v>
      </c>
      <c r="R504" s="304">
        <f t="shared" si="141"/>
        <v>-397</v>
      </c>
      <c r="S504" s="305" t="str">
        <f t="shared" si="148"/>
        <v/>
      </c>
      <c r="T504" s="305" t="str">
        <f t="shared" si="149"/>
        <v/>
      </c>
      <c r="U504" s="305" t="str">
        <f t="shared" si="150"/>
        <v/>
      </c>
      <c r="V504" s="305" t="str">
        <f t="shared" si="151"/>
        <v/>
      </c>
      <c r="W504" s="314" t="str">
        <f t="shared" si="152"/>
        <v/>
      </c>
      <c r="X504" s="314" t="str">
        <f t="shared" si="153"/>
        <v/>
      </c>
      <c r="Y504" s="326" t="str">
        <f t="shared" si="139"/>
        <v/>
      </c>
    </row>
    <row r="505" spans="7:25" x14ac:dyDescent="0.25">
      <c r="G505" s="303">
        <f t="shared" si="136"/>
        <v>0</v>
      </c>
      <c r="H505" s="304">
        <f t="shared" si="140"/>
        <v>498</v>
      </c>
      <c r="I505" s="305" t="str">
        <f t="shared" si="142"/>
        <v/>
      </c>
      <c r="J505" s="305" t="str">
        <f t="shared" si="143"/>
        <v/>
      </c>
      <c r="K505" s="305" t="str">
        <f t="shared" si="144"/>
        <v/>
      </c>
      <c r="L505" s="305" t="str">
        <f t="shared" si="145"/>
        <v/>
      </c>
      <c r="M505" s="314" t="str">
        <f t="shared" si="146"/>
        <v/>
      </c>
      <c r="N505" s="305" t="str">
        <f t="shared" si="147"/>
        <v/>
      </c>
      <c r="O505" s="327" t="e">
        <f t="shared" si="138"/>
        <v>#NUM!</v>
      </c>
      <c r="P505" s="305"/>
      <c r="Q505" s="303">
        <f t="shared" si="137"/>
        <v>0</v>
      </c>
      <c r="R505" s="304">
        <f t="shared" si="141"/>
        <v>-398</v>
      </c>
      <c r="S505" s="305" t="str">
        <f t="shared" si="148"/>
        <v/>
      </c>
      <c r="T505" s="305" t="str">
        <f t="shared" si="149"/>
        <v/>
      </c>
      <c r="U505" s="305" t="str">
        <f t="shared" si="150"/>
        <v/>
      </c>
      <c r="V505" s="305" t="str">
        <f t="shared" si="151"/>
        <v/>
      </c>
      <c r="W505" s="314" t="str">
        <f t="shared" si="152"/>
        <v/>
      </c>
      <c r="X505" s="314" t="str">
        <f t="shared" si="153"/>
        <v/>
      </c>
      <c r="Y505" s="326" t="str">
        <f t="shared" si="139"/>
        <v/>
      </c>
    </row>
    <row r="506" spans="7:25" x14ac:dyDescent="0.25">
      <c r="G506" s="303">
        <f t="shared" si="136"/>
        <v>0</v>
      </c>
      <c r="H506" s="304">
        <f t="shared" si="140"/>
        <v>499</v>
      </c>
      <c r="I506" s="305" t="str">
        <f t="shared" si="142"/>
        <v/>
      </c>
      <c r="J506" s="305" t="str">
        <f t="shared" si="143"/>
        <v/>
      </c>
      <c r="K506" s="305" t="str">
        <f t="shared" si="144"/>
        <v/>
      </c>
      <c r="L506" s="305" t="str">
        <f t="shared" si="145"/>
        <v/>
      </c>
      <c r="M506" s="314" t="str">
        <f t="shared" si="146"/>
        <v/>
      </c>
      <c r="N506" s="305" t="str">
        <f t="shared" si="147"/>
        <v/>
      </c>
      <c r="O506" s="327" t="e">
        <f t="shared" si="138"/>
        <v>#NUM!</v>
      </c>
      <c r="P506" s="305"/>
      <c r="Q506" s="303">
        <f t="shared" si="137"/>
        <v>0</v>
      </c>
      <c r="R506" s="304">
        <f t="shared" si="141"/>
        <v>-399</v>
      </c>
      <c r="S506" s="305" t="str">
        <f t="shared" si="148"/>
        <v/>
      </c>
      <c r="T506" s="305" t="str">
        <f t="shared" si="149"/>
        <v/>
      </c>
      <c r="U506" s="305" t="str">
        <f t="shared" si="150"/>
        <v/>
      </c>
      <c r="V506" s="305" t="str">
        <f t="shared" si="151"/>
        <v/>
      </c>
      <c r="W506" s="314" t="str">
        <f t="shared" si="152"/>
        <v/>
      </c>
      <c r="X506" s="314" t="str">
        <f t="shared" si="153"/>
        <v/>
      </c>
      <c r="Y506" s="326" t="str">
        <f t="shared" si="139"/>
        <v/>
      </c>
    </row>
    <row r="507" spans="7:25" x14ac:dyDescent="0.25">
      <c r="G507" s="303">
        <f t="shared" si="136"/>
        <v>0</v>
      </c>
      <c r="H507" s="304">
        <f t="shared" si="140"/>
        <v>500</v>
      </c>
      <c r="I507" s="305" t="str">
        <f t="shared" si="142"/>
        <v/>
      </c>
      <c r="J507" s="305" t="str">
        <f t="shared" si="143"/>
        <v/>
      </c>
      <c r="K507" s="305" t="str">
        <f t="shared" si="144"/>
        <v/>
      </c>
      <c r="L507" s="305" t="str">
        <f t="shared" si="145"/>
        <v/>
      </c>
      <c r="M507" s="314" t="str">
        <f t="shared" si="146"/>
        <v/>
      </c>
      <c r="N507" s="305" t="str">
        <f t="shared" si="147"/>
        <v/>
      </c>
      <c r="O507" s="327" t="e">
        <f t="shared" si="138"/>
        <v>#NUM!</v>
      </c>
      <c r="P507" s="305"/>
      <c r="Q507" s="303">
        <f t="shared" si="137"/>
        <v>0</v>
      </c>
      <c r="R507" s="304">
        <f t="shared" si="141"/>
        <v>-400</v>
      </c>
      <c r="S507" s="305" t="str">
        <f t="shared" si="148"/>
        <v/>
      </c>
      <c r="T507" s="305" t="str">
        <f t="shared" si="149"/>
        <v/>
      </c>
      <c r="U507" s="305" t="str">
        <f t="shared" si="150"/>
        <v/>
      </c>
      <c r="V507" s="305" t="str">
        <f t="shared" si="151"/>
        <v/>
      </c>
      <c r="W507" s="314" t="str">
        <f t="shared" si="152"/>
        <v/>
      </c>
      <c r="X507" s="314" t="str">
        <f t="shared" si="153"/>
        <v/>
      </c>
      <c r="Y507" s="326" t="str">
        <f t="shared" si="139"/>
        <v/>
      </c>
    </row>
    <row r="508" spans="7:25" x14ac:dyDescent="0.25">
      <c r="G508" s="303">
        <f t="shared" si="136"/>
        <v>0</v>
      </c>
      <c r="H508" s="304">
        <f t="shared" si="140"/>
        <v>501</v>
      </c>
      <c r="I508" s="305" t="str">
        <f t="shared" si="142"/>
        <v/>
      </c>
      <c r="J508" s="305" t="str">
        <f t="shared" si="143"/>
        <v/>
      </c>
      <c r="K508" s="305" t="str">
        <f t="shared" si="144"/>
        <v/>
      </c>
      <c r="L508" s="305" t="str">
        <f t="shared" si="145"/>
        <v/>
      </c>
      <c r="M508" s="314" t="str">
        <f t="shared" si="146"/>
        <v/>
      </c>
      <c r="N508" s="305" t="str">
        <f t="shared" si="147"/>
        <v/>
      </c>
      <c r="O508" s="327" t="e">
        <f t="shared" si="138"/>
        <v>#NUM!</v>
      </c>
      <c r="P508" s="305"/>
      <c r="Q508" s="303">
        <f t="shared" si="137"/>
        <v>0</v>
      </c>
      <c r="R508" s="304">
        <f t="shared" si="141"/>
        <v>-401</v>
      </c>
      <c r="S508" s="305" t="str">
        <f t="shared" si="148"/>
        <v/>
      </c>
      <c r="T508" s="305" t="str">
        <f t="shared" si="149"/>
        <v/>
      </c>
      <c r="U508" s="305" t="str">
        <f t="shared" si="150"/>
        <v/>
      </c>
      <c r="V508" s="305" t="str">
        <f t="shared" si="151"/>
        <v/>
      </c>
      <c r="W508" s="314" t="str">
        <f t="shared" si="152"/>
        <v/>
      </c>
      <c r="X508" s="314" t="str">
        <f t="shared" si="153"/>
        <v/>
      </c>
      <c r="Y508" s="326" t="str">
        <f t="shared" si="139"/>
        <v/>
      </c>
    </row>
    <row r="509" spans="7:25" x14ac:dyDescent="0.25">
      <c r="G509" s="303">
        <f t="shared" si="136"/>
        <v>0</v>
      </c>
      <c r="H509" s="304">
        <f t="shared" si="140"/>
        <v>502</v>
      </c>
      <c r="I509" s="305" t="str">
        <f t="shared" si="142"/>
        <v/>
      </c>
      <c r="J509" s="305" t="str">
        <f t="shared" si="143"/>
        <v/>
      </c>
      <c r="K509" s="305" t="str">
        <f t="shared" si="144"/>
        <v/>
      </c>
      <c r="L509" s="305" t="str">
        <f t="shared" si="145"/>
        <v/>
      </c>
      <c r="M509" s="314" t="str">
        <f t="shared" si="146"/>
        <v/>
      </c>
      <c r="N509" s="305" t="str">
        <f t="shared" si="147"/>
        <v/>
      </c>
      <c r="O509" s="327" t="e">
        <f t="shared" si="138"/>
        <v>#NUM!</v>
      </c>
      <c r="P509" s="305"/>
      <c r="Q509" s="303">
        <f t="shared" si="137"/>
        <v>0</v>
      </c>
      <c r="R509" s="304">
        <f t="shared" si="141"/>
        <v>-402</v>
      </c>
      <c r="S509" s="305" t="str">
        <f t="shared" si="148"/>
        <v/>
      </c>
      <c r="T509" s="305" t="str">
        <f t="shared" si="149"/>
        <v/>
      </c>
      <c r="U509" s="305" t="str">
        <f t="shared" si="150"/>
        <v/>
      </c>
      <c r="V509" s="305" t="str">
        <f t="shared" si="151"/>
        <v/>
      </c>
      <c r="W509" s="314" t="str">
        <f t="shared" si="152"/>
        <v/>
      </c>
      <c r="X509" s="314" t="str">
        <f t="shared" si="153"/>
        <v/>
      </c>
      <c r="Y509" s="326" t="str">
        <f t="shared" si="139"/>
        <v/>
      </c>
    </row>
    <row r="510" spans="7:25" x14ac:dyDescent="0.25">
      <c r="G510" s="303">
        <f t="shared" si="136"/>
        <v>0</v>
      </c>
      <c r="H510" s="304">
        <f t="shared" si="140"/>
        <v>503</v>
      </c>
      <c r="I510" s="305" t="str">
        <f t="shared" si="142"/>
        <v/>
      </c>
      <c r="J510" s="305" t="str">
        <f t="shared" si="143"/>
        <v/>
      </c>
      <c r="K510" s="305" t="str">
        <f t="shared" si="144"/>
        <v/>
      </c>
      <c r="L510" s="305" t="str">
        <f t="shared" si="145"/>
        <v/>
      </c>
      <c r="M510" s="314" t="str">
        <f t="shared" si="146"/>
        <v/>
      </c>
      <c r="N510" s="305" t="str">
        <f t="shared" si="147"/>
        <v/>
      </c>
      <c r="O510" s="327" t="e">
        <f t="shared" si="138"/>
        <v>#NUM!</v>
      </c>
      <c r="P510" s="305"/>
      <c r="Q510" s="303">
        <f t="shared" si="137"/>
        <v>0</v>
      </c>
      <c r="R510" s="304">
        <f t="shared" si="141"/>
        <v>-403</v>
      </c>
      <c r="S510" s="305" t="str">
        <f t="shared" si="148"/>
        <v/>
      </c>
      <c r="T510" s="305" t="str">
        <f t="shared" si="149"/>
        <v/>
      </c>
      <c r="U510" s="305" t="str">
        <f t="shared" si="150"/>
        <v/>
      </c>
      <c r="V510" s="305" t="str">
        <f t="shared" si="151"/>
        <v/>
      </c>
      <c r="W510" s="314" t="str">
        <f t="shared" si="152"/>
        <v/>
      </c>
      <c r="X510" s="314" t="str">
        <f t="shared" si="153"/>
        <v/>
      </c>
      <c r="Y510" s="326" t="str">
        <f t="shared" si="139"/>
        <v/>
      </c>
    </row>
    <row r="511" spans="7:25" x14ac:dyDescent="0.25">
      <c r="G511" s="303">
        <f t="shared" si="136"/>
        <v>0</v>
      </c>
      <c r="H511" s="304">
        <f t="shared" si="140"/>
        <v>504</v>
      </c>
      <c r="I511" s="305" t="str">
        <f t="shared" si="142"/>
        <v/>
      </c>
      <c r="J511" s="305" t="str">
        <f t="shared" si="143"/>
        <v/>
      </c>
      <c r="K511" s="305" t="str">
        <f t="shared" si="144"/>
        <v/>
      </c>
      <c r="L511" s="305" t="str">
        <f t="shared" si="145"/>
        <v/>
      </c>
      <c r="M511" s="314" t="str">
        <f t="shared" si="146"/>
        <v/>
      </c>
      <c r="N511" s="305" t="str">
        <f t="shared" si="147"/>
        <v/>
      </c>
      <c r="O511" s="327" t="e">
        <f t="shared" si="138"/>
        <v>#NUM!</v>
      </c>
      <c r="P511" s="305"/>
      <c r="Q511" s="303">
        <f t="shared" si="137"/>
        <v>0</v>
      </c>
      <c r="R511" s="304">
        <f t="shared" si="141"/>
        <v>-404</v>
      </c>
      <c r="S511" s="305" t="str">
        <f t="shared" si="148"/>
        <v/>
      </c>
      <c r="T511" s="305" t="str">
        <f t="shared" si="149"/>
        <v/>
      </c>
      <c r="U511" s="305" t="str">
        <f t="shared" si="150"/>
        <v/>
      </c>
      <c r="V511" s="305" t="str">
        <f t="shared" si="151"/>
        <v/>
      </c>
      <c r="W511" s="314" t="str">
        <f t="shared" si="152"/>
        <v/>
      </c>
      <c r="X511" s="314" t="str">
        <f t="shared" si="153"/>
        <v/>
      </c>
      <c r="Y511" s="326" t="str">
        <f t="shared" si="139"/>
        <v/>
      </c>
    </row>
    <row r="512" spans="7:25" x14ac:dyDescent="0.25">
      <c r="G512" s="303">
        <f t="shared" si="136"/>
        <v>0</v>
      </c>
      <c r="H512" s="304">
        <f t="shared" si="140"/>
        <v>505</v>
      </c>
      <c r="I512" s="305" t="str">
        <f t="shared" si="142"/>
        <v/>
      </c>
      <c r="J512" s="305" t="str">
        <f t="shared" si="143"/>
        <v/>
      </c>
      <c r="K512" s="305" t="str">
        <f t="shared" si="144"/>
        <v/>
      </c>
      <c r="L512" s="305" t="str">
        <f t="shared" si="145"/>
        <v/>
      </c>
      <c r="M512" s="314" t="str">
        <f t="shared" si="146"/>
        <v/>
      </c>
      <c r="N512" s="305" t="str">
        <f t="shared" si="147"/>
        <v/>
      </c>
      <c r="O512" s="327" t="e">
        <f t="shared" si="138"/>
        <v>#NUM!</v>
      </c>
      <c r="P512" s="305"/>
      <c r="Q512" s="303">
        <f t="shared" si="137"/>
        <v>0</v>
      </c>
      <c r="R512" s="304">
        <f t="shared" si="141"/>
        <v>-405</v>
      </c>
      <c r="S512" s="305" t="str">
        <f t="shared" si="148"/>
        <v/>
      </c>
      <c r="T512" s="305" t="str">
        <f t="shared" si="149"/>
        <v/>
      </c>
      <c r="U512" s="305" t="str">
        <f t="shared" si="150"/>
        <v/>
      </c>
      <c r="V512" s="305" t="str">
        <f t="shared" si="151"/>
        <v/>
      </c>
      <c r="W512" s="314" t="str">
        <f t="shared" si="152"/>
        <v/>
      </c>
      <c r="X512" s="314" t="str">
        <f t="shared" si="153"/>
        <v/>
      </c>
      <c r="Y512" s="326" t="str">
        <f t="shared" si="139"/>
        <v/>
      </c>
    </row>
    <row r="513" spans="7:25" x14ac:dyDescent="0.25">
      <c r="G513" s="303">
        <f t="shared" si="136"/>
        <v>0</v>
      </c>
      <c r="H513" s="304">
        <f t="shared" si="140"/>
        <v>506</v>
      </c>
      <c r="I513" s="305" t="str">
        <f t="shared" si="142"/>
        <v/>
      </c>
      <c r="J513" s="305" t="str">
        <f t="shared" si="143"/>
        <v/>
      </c>
      <c r="K513" s="305" t="str">
        <f t="shared" si="144"/>
        <v/>
      </c>
      <c r="L513" s="305" t="str">
        <f t="shared" si="145"/>
        <v/>
      </c>
      <c r="M513" s="314" t="str">
        <f t="shared" si="146"/>
        <v/>
      </c>
      <c r="N513" s="305" t="str">
        <f t="shared" si="147"/>
        <v/>
      </c>
      <c r="O513" s="327" t="e">
        <f t="shared" si="138"/>
        <v>#NUM!</v>
      </c>
      <c r="P513" s="305"/>
      <c r="Q513" s="303">
        <f t="shared" si="137"/>
        <v>0</v>
      </c>
      <c r="R513" s="304">
        <f t="shared" si="141"/>
        <v>-406</v>
      </c>
      <c r="S513" s="305" t="str">
        <f t="shared" si="148"/>
        <v/>
      </c>
      <c r="T513" s="305" t="str">
        <f t="shared" si="149"/>
        <v/>
      </c>
      <c r="U513" s="305" t="str">
        <f t="shared" si="150"/>
        <v/>
      </c>
      <c r="V513" s="305" t="str">
        <f t="shared" si="151"/>
        <v/>
      </c>
      <c r="W513" s="314" t="str">
        <f t="shared" si="152"/>
        <v/>
      </c>
      <c r="X513" s="314" t="str">
        <f t="shared" si="153"/>
        <v/>
      </c>
      <c r="Y513" s="326" t="str">
        <f t="shared" si="139"/>
        <v/>
      </c>
    </row>
    <row r="514" spans="7:25" x14ac:dyDescent="0.25">
      <c r="G514" s="303">
        <f t="shared" si="136"/>
        <v>0</v>
      </c>
      <c r="H514" s="304">
        <f t="shared" si="140"/>
        <v>507</v>
      </c>
      <c r="I514" s="305" t="str">
        <f t="shared" si="142"/>
        <v/>
      </c>
      <c r="J514" s="305" t="str">
        <f t="shared" si="143"/>
        <v/>
      </c>
      <c r="K514" s="305" t="str">
        <f t="shared" si="144"/>
        <v/>
      </c>
      <c r="L514" s="305" t="str">
        <f t="shared" si="145"/>
        <v/>
      </c>
      <c r="M514" s="314" t="str">
        <f t="shared" si="146"/>
        <v/>
      </c>
      <c r="N514" s="305" t="str">
        <f t="shared" si="147"/>
        <v/>
      </c>
      <c r="O514" s="327" t="e">
        <f t="shared" si="138"/>
        <v>#NUM!</v>
      </c>
      <c r="P514" s="305"/>
      <c r="Q514" s="303">
        <f t="shared" si="137"/>
        <v>0</v>
      </c>
      <c r="R514" s="304">
        <f t="shared" si="141"/>
        <v>-407</v>
      </c>
      <c r="S514" s="305" t="str">
        <f t="shared" si="148"/>
        <v/>
      </c>
      <c r="T514" s="305" t="str">
        <f t="shared" si="149"/>
        <v/>
      </c>
      <c r="U514" s="305" t="str">
        <f t="shared" si="150"/>
        <v/>
      </c>
      <c r="V514" s="305" t="str">
        <f t="shared" si="151"/>
        <v/>
      </c>
      <c r="W514" s="314" t="str">
        <f t="shared" si="152"/>
        <v/>
      </c>
      <c r="X514" s="314" t="str">
        <f t="shared" si="153"/>
        <v/>
      </c>
      <c r="Y514" s="326" t="str">
        <f t="shared" si="139"/>
        <v/>
      </c>
    </row>
    <row r="515" spans="7:25" x14ac:dyDescent="0.25">
      <c r="G515" s="303">
        <f t="shared" si="136"/>
        <v>0</v>
      </c>
      <c r="H515" s="304">
        <f t="shared" si="140"/>
        <v>508</v>
      </c>
      <c r="I515" s="305" t="str">
        <f t="shared" si="142"/>
        <v/>
      </c>
      <c r="J515" s="305" t="str">
        <f t="shared" si="143"/>
        <v/>
      </c>
      <c r="K515" s="305" t="str">
        <f t="shared" si="144"/>
        <v/>
      </c>
      <c r="L515" s="305" t="str">
        <f t="shared" si="145"/>
        <v/>
      </c>
      <c r="M515" s="314" t="str">
        <f t="shared" si="146"/>
        <v/>
      </c>
      <c r="N515" s="305" t="str">
        <f t="shared" si="147"/>
        <v/>
      </c>
      <c r="O515" s="327" t="e">
        <f t="shared" si="138"/>
        <v>#NUM!</v>
      </c>
      <c r="P515" s="305"/>
      <c r="Q515" s="303">
        <f t="shared" si="137"/>
        <v>0</v>
      </c>
      <c r="R515" s="304">
        <f t="shared" si="141"/>
        <v>-408</v>
      </c>
      <c r="S515" s="305" t="str">
        <f t="shared" si="148"/>
        <v/>
      </c>
      <c r="T515" s="305" t="str">
        <f t="shared" si="149"/>
        <v/>
      </c>
      <c r="U515" s="305" t="str">
        <f t="shared" si="150"/>
        <v/>
      </c>
      <c r="V515" s="305" t="str">
        <f t="shared" si="151"/>
        <v/>
      </c>
      <c r="W515" s="314" t="str">
        <f t="shared" si="152"/>
        <v/>
      </c>
      <c r="X515" s="314" t="str">
        <f t="shared" si="153"/>
        <v/>
      </c>
      <c r="Y515" s="326" t="str">
        <f t="shared" si="139"/>
        <v/>
      </c>
    </row>
    <row r="516" spans="7:25" x14ac:dyDescent="0.25">
      <c r="G516" s="303">
        <f t="shared" si="136"/>
        <v>0</v>
      </c>
      <c r="H516" s="304">
        <f t="shared" si="140"/>
        <v>509</v>
      </c>
      <c r="I516" s="305" t="str">
        <f t="shared" si="142"/>
        <v/>
      </c>
      <c r="J516" s="305" t="str">
        <f t="shared" si="143"/>
        <v/>
      </c>
      <c r="K516" s="305" t="str">
        <f t="shared" si="144"/>
        <v/>
      </c>
      <c r="L516" s="305" t="str">
        <f t="shared" si="145"/>
        <v/>
      </c>
      <c r="M516" s="314" t="str">
        <f t="shared" si="146"/>
        <v/>
      </c>
      <c r="N516" s="305" t="str">
        <f t="shared" si="147"/>
        <v/>
      </c>
      <c r="O516" s="327" t="e">
        <f t="shared" si="138"/>
        <v>#NUM!</v>
      </c>
      <c r="P516" s="305"/>
      <c r="Q516" s="303">
        <f t="shared" si="137"/>
        <v>0</v>
      </c>
      <c r="R516" s="304">
        <f t="shared" si="141"/>
        <v>-409</v>
      </c>
      <c r="S516" s="305" t="str">
        <f t="shared" si="148"/>
        <v/>
      </c>
      <c r="T516" s="305" t="str">
        <f t="shared" si="149"/>
        <v/>
      </c>
      <c r="U516" s="305" t="str">
        <f t="shared" si="150"/>
        <v/>
      </c>
      <c r="V516" s="305" t="str">
        <f t="shared" si="151"/>
        <v/>
      </c>
      <c r="W516" s="314" t="str">
        <f t="shared" si="152"/>
        <v/>
      </c>
      <c r="X516" s="314" t="str">
        <f t="shared" si="153"/>
        <v/>
      </c>
      <c r="Y516" s="326" t="str">
        <f t="shared" si="139"/>
        <v/>
      </c>
    </row>
    <row r="517" spans="7:25" x14ac:dyDescent="0.25">
      <c r="G517" s="303">
        <f t="shared" si="136"/>
        <v>0</v>
      </c>
      <c r="H517" s="304">
        <f t="shared" si="140"/>
        <v>510</v>
      </c>
      <c r="I517" s="305" t="str">
        <f t="shared" si="142"/>
        <v/>
      </c>
      <c r="J517" s="305" t="str">
        <f t="shared" si="143"/>
        <v/>
      </c>
      <c r="K517" s="305" t="str">
        <f t="shared" si="144"/>
        <v/>
      </c>
      <c r="L517" s="305" t="str">
        <f t="shared" si="145"/>
        <v/>
      </c>
      <c r="M517" s="314" t="str">
        <f t="shared" si="146"/>
        <v/>
      </c>
      <c r="N517" s="305" t="str">
        <f t="shared" si="147"/>
        <v/>
      </c>
      <c r="O517" s="327" t="e">
        <f t="shared" si="138"/>
        <v>#NUM!</v>
      </c>
      <c r="P517" s="305"/>
      <c r="Q517" s="303">
        <f t="shared" si="137"/>
        <v>0</v>
      </c>
      <c r="R517" s="304">
        <f t="shared" si="141"/>
        <v>-410</v>
      </c>
      <c r="S517" s="305" t="str">
        <f t="shared" si="148"/>
        <v/>
      </c>
      <c r="T517" s="305" t="str">
        <f t="shared" si="149"/>
        <v/>
      </c>
      <c r="U517" s="305" t="str">
        <f t="shared" si="150"/>
        <v/>
      </c>
      <c r="V517" s="305" t="str">
        <f t="shared" si="151"/>
        <v/>
      </c>
      <c r="W517" s="314" t="str">
        <f t="shared" si="152"/>
        <v/>
      </c>
      <c r="X517" s="314" t="str">
        <f t="shared" si="153"/>
        <v/>
      </c>
      <c r="Y517" s="326" t="str">
        <f t="shared" si="139"/>
        <v/>
      </c>
    </row>
    <row r="518" spans="7:25" x14ac:dyDescent="0.25">
      <c r="G518" s="303">
        <f t="shared" si="136"/>
        <v>0</v>
      </c>
      <c r="H518" s="304">
        <f t="shared" si="140"/>
        <v>511</v>
      </c>
      <c r="I518" s="305" t="str">
        <f t="shared" si="142"/>
        <v/>
      </c>
      <c r="J518" s="305" t="str">
        <f t="shared" si="143"/>
        <v/>
      </c>
      <c r="K518" s="305" t="str">
        <f t="shared" si="144"/>
        <v/>
      </c>
      <c r="L518" s="305" t="str">
        <f t="shared" si="145"/>
        <v/>
      </c>
      <c r="M518" s="314" t="str">
        <f t="shared" si="146"/>
        <v/>
      </c>
      <c r="N518" s="305" t="str">
        <f t="shared" si="147"/>
        <v/>
      </c>
      <c r="O518" s="327" t="e">
        <f t="shared" si="138"/>
        <v>#NUM!</v>
      </c>
      <c r="P518" s="305"/>
      <c r="Q518" s="303">
        <f t="shared" si="137"/>
        <v>0</v>
      </c>
      <c r="R518" s="304">
        <f t="shared" si="141"/>
        <v>-411</v>
      </c>
      <c r="S518" s="305" t="str">
        <f t="shared" si="148"/>
        <v/>
      </c>
      <c r="T518" s="305" t="str">
        <f t="shared" si="149"/>
        <v/>
      </c>
      <c r="U518" s="305" t="str">
        <f t="shared" si="150"/>
        <v/>
      </c>
      <c r="V518" s="305" t="str">
        <f t="shared" si="151"/>
        <v/>
      </c>
      <c r="W518" s="314" t="str">
        <f t="shared" si="152"/>
        <v/>
      </c>
      <c r="X518" s="314" t="str">
        <f t="shared" si="153"/>
        <v/>
      </c>
      <c r="Y518" s="326" t="str">
        <f t="shared" si="139"/>
        <v/>
      </c>
    </row>
    <row r="519" spans="7:25" x14ac:dyDescent="0.25">
      <c r="G519" s="303">
        <f t="shared" ref="G519:G582" si="154">IF(H519&lt;=$C$16,1,0)</f>
        <v>0</v>
      </c>
      <c r="H519" s="304">
        <f t="shared" si="140"/>
        <v>512</v>
      </c>
      <c r="I519" s="305" t="str">
        <f t="shared" si="142"/>
        <v/>
      </c>
      <c r="J519" s="305" t="str">
        <f t="shared" si="143"/>
        <v/>
      </c>
      <c r="K519" s="305" t="str">
        <f t="shared" si="144"/>
        <v/>
      </c>
      <c r="L519" s="305" t="str">
        <f t="shared" si="145"/>
        <v/>
      </c>
      <c r="M519" s="314" t="str">
        <f t="shared" si="146"/>
        <v/>
      </c>
      <c r="N519" s="305" t="str">
        <f t="shared" si="147"/>
        <v/>
      </c>
      <c r="O519" s="327" t="e">
        <f t="shared" si="138"/>
        <v>#NUM!</v>
      </c>
      <c r="P519" s="305"/>
      <c r="Q519" s="303">
        <f t="shared" ref="Q519:Q582" si="155">IF(R519&gt;=$C$16,1,0)</f>
        <v>0</v>
      </c>
      <c r="R519" s="304">
        <f t="shared" si="141"/>
        <v>-412</v>
      </c>
      <c r="S519" s="305" t="str">
        <f t="shared" si="148"/>
        <v/>
      </c>
      <c r="T519" s="305" t="str">
        <f t="shared" si="149"/>
        <v/>
      </c>
      <c r="U519" s="305" t="str">
        <f t="shared" si="150"/>
        <v/>
      </c>
      <c r="V519" s="305" t="str">
        <f t="shared" si="151"/>
        <v/>
      </c>
      <c r="W519" s="314" t="str">
        <f t="shared" si="152"/>
        <v/>
      </c>
      <c r="X519" s="314" t="str">
        <f t="shared" si="153"/>
        <v/>
      </c>
      <c r="Y519" s="326" t="str">
        <f t="shared" si="139"/>
        <v/>
      </c>
    </row>
    <row r="520" spans="7:25" x14ac:dyDescent="0.25">
      <c r="G520" s="303">
        <f t="shared" si="154"/>
        <v>0</v>
      </c>
      <c r="H520" s="304">
        <f t="shared" si="140"/>
        <v>513</v>
      </c>
      <c r="I520" s="305" t="str">
        <f t="shared" si="142"/>
        <v/>
      </c>
      <c r="J520" s="305" t="str">
        <f t="shared" si="143"/>
        <v/>
      </c>
      <c r="K520" s="305" t="str">
        <f t="shared" si="144"/>
        <v/>
      </c>
      <c r="L520" s="305" t="str">
        <f t="shared" si="145"/>
        <v/>
      </c>
      <c r="M520" s="314" t="str">
        <f t="shared" si="146"/>
        <v/>
      </c>
      <c r="N520" s="305" t="str">
        <f t="shared" si="147"/>
        <v/>
      </c>
      <c r="O520" s="327" t="e">
        <f t="shared" ref="O520:O583" si="156">IF($C$15=1,IF(AND(O519&lt;=$C$17,M520&lt;=$C$17),M520,""),"")</f>
        <v>#NUM!</v>
      </c>
      <c r="P520" s="305"/>
      <c r="Q520" s="303">
        <f t="shared" si="155"/>
        <v>0</v>
      </c>
      <c r="R520" s="304">
        <f t="shared" si="141"/>
        <v>-413</v>
      </c>
      <c r="S520" s="305" t="str">
        <f t="shared" si="148"/>
        <v/>
      </c>
      <c r="T520" s="305" t="str">
        <f t="shared" si="149"/>
        <v/>
      </c>
      <c r="U520" s="305" t="str">
        <f t="shared" si="150"/>
        <v/>
      </c>
      <c r="V520" s="305" t="str">
        <f t="shared" si="151"/>
        <v/>
      </c>
      <c r="W520" s="314" t="str">
        <f t="shared" si="152"/>
        <v/>
      </c>
      <c r="X520" s="314" t="str">
        <f t="shared" si="153"/>
        <v/>
      </c>
      <c r="Y520" s="326" t="str">
        <f t="shared" ref="Y520:Y583" si="157">IF($C$15=-1,IF(AND(Y519&lt;=$C$17,W520&lt;=$C$17),M520,""),"")</f>
        <v/>
      </c>
    </row>
    <row r="521" spans="7:25" x14ac:dyDescent="0.25">
      <c r="G521" s="303">
        <f t="shared" si="154"/>
        <v>0</v>
      </c>
      <c r="H521" s="304">
        <f t="shared" ref="H521:H584" si="158">H520+1</f>
        <v>514</v>
      </c>
      <c r="I521" s="305" t="str">
        <f t="shared" si="142"/>
        <v/>
      </c>
      <c r="J521" s="305" t="str">
        <f t="shared" si="143"/>
        <v/>
      </c>
      <c r="K521" s="305" t="str">
        <f t="shared" si="144"/>
        <v/>
      </c>
      <c r="L521" s="305" t="str">
        <f t="shared" si="145"/>
        <v/>
      </c>
      <c r="M521" s="314" t="str">
        <f t="shared" si="146"/>
        <v/>
      </c>
      <c r="N521" s="305" t="str">
        <f t="shared" si="147"/>
        <v/>
      </c>
      <c r="O521" s="327" t="e">
        <f t="shared" si="156"/>
        <v>#NUM!</v>
      </c>
      <c r="P521" s="305"/>
      <c r="Q521" s="303">
        <f t="shared" si="155"/>
        <v>0</v>
      </c>
      <c r="R521" s="304">
        <f t="shared" ref="R521:R584" si="159">R520-1</f>
        <v>-414</v>
      </c>
      <c r="S521" s="305" t="str">
        <f t="shared" si="148"/>
        <v/>
      </c>
      <c r="T521" s="305" t="str">
        <f t="shared" si="149"/>
        <v/>
      </c>
      <c r="U521" s="305" t="str">
        <f t="shared" si="150"/>
        <v/>
      </c>
      <c r="V521" s="305" t="str">
        <f t="shared" si="151"/>
        <v/>
      </c>
      <c r="W521" s="314" t="str">
        <f t="shared" si="152"/>
        <v/>
      </c>
      <c r="X521" s="314" t="str">
        <f t="shared" si="153"/>
        <v/>
      </c>
      <c r="Y521" s="326" t="str">
        <f t="shared" si="157"/>
        <v/>
      </c>
    </row>
    <row r="522" spans="7:25" x14ac:dyDescent="0.25">
      <c r="G522" s="303">
        <f t="shared" si="154"/>
        <v>0</v>
      </c>
      <c r="H522" s="304">
        <f t="shared" si="158"/>
        <v>515</v>
      </c>
      <c r="I522" s="305" t="str">
        <f t="shared" si="142"/>
        <v/>
      </c>
      <c r="J522" s="305" t="str">
        <f t="shared" si="143"/>
        <v/>
      </c>
      <c r="K522" s="305" t="str">
        <f t="shared" si="144"/>
        <v/>
      </c>
      <c r="L522" s="305" t="str">
        <f t="shared" si="145"/>
        <v/>
      </c>
      <c r="M522" s="314" t="str">
        <f t="shared" si="146"/>
        <v/>
      </c>
      <c r="N522" s="305" t="str">
        <f t="shared" si="147"/>
        <v/>
      </c>
      <c r="O522" s="327" t="e">
        <f t="shared" si="156"/>
        <v>#NUM!</v>
      </c>
      <c r="P522" s="305"/>
      <c r="Q522" s="303">
        <f t="shared" si="155"/>
        <v>0</v>
      </c>
      <c r="R522" s="304">
        <f t="shared" si="159"/>
        <v>-415</v>
      </c>
      <c r="S522" s="305" t="str">
        <f t="shared" si="148"/>
        <v/>
      </c>
      <c r="T522" s="305" t="str">
        <f t="shared" si="149"/>
        <v/>
      </c>
      <c r="U522" s="305" t="str">
        <f t="shared" si="150"/>
        <v/>
      </c>
      <c r="V522" s="305" t="str">
        <f t="shared" si="151"/>
        <v/>
      </c>
      <c r="W522" s="314" t="str">
        <f t="shared" si="152"/>
        <v/>
      </c>
      <c r="X522" s="314" t="str">
        <f t="shared" si="153"/>
        <v/>
      </c>
      <c r="Y522" s="326" t="str">
        <f t="shared" si="157"/>
        <v/>
      </c>
    </row>
    <row r="523" spans="7:25" x14ac:dyDescent="0.25">
      <c r="G523" s="303">
        <f t="shared" si="154"/>
        <v>0</v>
      </c>
      <c r="H523" s="304">
        <f t="shared" si="158"/>
        <v>516</v>
      </c>
      <c r="I523" s="305" t="str">
        <f t="shared" si="142"/>
        <v/>
      </c>
      <c r="J523" s="305" t="str">
        <f t="shared" si="143"/>
        <v/>
      </c>
      <c r="K523" s="305" t="str">
        <f t="shared" si="144"/>
        <v/>
      </c>
      <c r="L523" s="305" t="str">
        <f t="shared" si="145"/>
        <v/>
      </c>
      <c r="M523" s="314" t="str">
        <f t="shared" si="146"/>
        <v/>
      </c>
      <c r="N523" s="305" t="str">
        <f t="shared" si="147"/>
        <v/>
      </c>
      <c r="O523" s="327" t="e">
        <f t="shared" si="156"/>
        <v>#NUM!</v>
      </c>
      <c r="P523" s="305"/>
      <c r="Q523" s="303">
        <f t="shared" si="155"/>
        <v>0</v>
      </c>
      <c r="R523" s="304">
        <f t="shared" si="159"/>
        <v>-416</v>
      </c>
      <c r="S523" s="305" t="str">
        <f t="shared" si="148"/>
        <v/>
      </c>
      <c r="T523" s="305" t="str">
        <f t="shared" si="149"/>
        <v/>
      </c>
      <c r="U523" s="305" t="str">
        <f t="shared" si="150"/>
        <v/>
      </c>
      <c r="V523" s="305" t="str">
        <f t="shared" si="151"/>
        <v/>
      </c>
      <c r="W523" s="314" t="str">
        <f t="shared" si="152"/>
        <v/>
      </c>
      <c r="X523" s="314" t="str">
        <f t="shared" si="153"/>
        <v/>
      </c>
      <c r="Y523" s="326" t="str">
        <f t="shared" si="157"/>
        <v/>
      </c>
    </row>
    <row r="524" spans="7:25" x14ac:dyDescent="0.25">
      <c r="G524" s="303">
        <f t="shared" si="154"/>
        <v>0</v>
      </c>
      <c r="H524" s="304">
        <f t="shared" si="158"/>
        <v>517</v>
      </c>
      <c r="I524" s="305" t="str">
        <f t="shared" si="142"/>
        <v/>
      </c>
      <c r="J524" s="305" t="str">
        <f t="shared" si="143"/>
        <v/>
      </c>
      <c r="K524" s="305" t="str">
        <f t="shared" si="144"/>
        <v/>
      </c>
      <c r="L524" s="305" t="str">
        <f t="shared" si="145"/>
        <v/>
      </c>
      <c r="M524" s="314" t="str">
        <f t="shared" si="146"/>
        <v/>
      </c>
      <c r="N524" s="305" t="str">
        <f t="shared" si="147"/>
        <v/>
      </c>
      <c r="O524" s="327" t="e">
        <f t="shared" si="156"/>
        <v>#NUM!</v>
      </c>
      <c r="P524" s="305"/>
      <c r="Q524" s="303">
        <f t="shared" si="155"/>
        <v>0</v>
      </c>
      <c r="R524" s="304">
        <f t="shared" si="159"/>
        <v>-417</v>
      </c>
      <c r="S524" s="305" t="str">
        <f t="shared" si="148"/>
        <v/>
      </c>
      <c r="T524" s="305" t="str">
        <f t="shared" si="149"/>
        <v/>
      </c>
      <c r="U524" s="305" t="str">
        <f t="shared" si="150"/>
        <v/>
      </c>
      <c r="V524" s="305" t="str">
        <f t="shared" si="151"/>
        <v/>
      </c>
      <c r="W524" s="314" t="str">
        <f t="shared" si="152"/>
        <v/>
      </c>
      <c r="X524" s="314" t="str">
        <f t="shared" si="153"/>
        <v/>
      </c>
      <c r="Y524" s="326" t="str">
        <f t="shared" si="157"/>
        <v/>
      </c>
    </row>
    <row r="525" spans="7:25" x14ac:dyDescent="0.25">
      <c r="G525" s="303">
        <f t="shared" si="154"/>
        <v>0</v>
      </c>
      <c r="H525" s="304">
        <f t="shared" si="158"/>
        <v>518</v>
      </c>
      <c r="I525" s="305" t="str">
        <f t="shared" ref="I525:I588" si="160">IF(G525,H525,"")</f>
        <v/>
      </c>
      <c r="J525" s="305" t="str">
        <f t="shared" ref="J525:J588" si="161">IF(G525,$D$5-H525,"")</f>
        <v/>
      </c>
      <c r="K525" s="305" t="str">
        <f t="shared" ref="K525:K588" si="162">IF(G525,$B$7-H525,"")</f>
        <v/>
      </c>
      <c r="L525" s="305" t="str">
        <f t="shared" ref="L525:L588" si="163">IF(G525,$D$7-SUM(I525:K525),"")</f>
        <v/>
      </c>
      <c r="M525" s="314" t="str">
        <f t="shared" ref="M525:M588" si="164">IF(G525,M524*(K524*J524)/(L525*I525),"")</f>
        <v/>
      </c>
      <c r="N525" s="305" t="str">
        <f t="shared" ref="N525:N588" si="165">IF(AND(G525=1,I525&lt;=$B$5),M525,"")</f>
        <v/>
      </c>
      <c r="O525" s="327" t="e">
        <f t="shared" si="156"/>
        <v>#NUM!</v>
      </c>
      <c r="P525" s="305"/>
      <c r="Q525" s="303">
        <f t="shared" si="155"/>
        <v>0</v>
      </c>
      <c r="R525" s="304">
        <f t="shared" si="159"/>
        <v>-418</v>
      </c>
      <c r="S525" s="305" t="str">
        <f t="shared" ref="S525:S588" si="166">IF(Q525,R525,"")</f>
        <v/>
      </c>
      <c r="T525" s="305" t="str">
        <f t="shared" ref="T525:T588" si="167">IF(Q525,$D$5-R525,"")</f>
        <v/>
      </c>
      <c r="U525" s="305" t="str">
        <f t="shared" ref="U525:U588" si="168">IF(Q525,$B$7-R525,"")</f>
        <v/>
      </c>
      <c r="V525" s="305" t="str">
        <f t="shared" ref="V525:V588" si="169">IF(Q525,$D$7-SUM(S525:U525),"")</f>
        <v/>
      </c>
      <c r="W525" s="314" t="str">
        <f t="shared" ref="W525:W588" si="170">IF(Q525,W524*(S524*V524)/(U525*T525),"")</f>
        <v/>
      </c>
      <c r="X525" s="314" t="str">
        <f t="shared" ref="X525:X588" si="171">IF(AND(Q525=1,S525&gt;=$B$5),W525,"")</f>
        <v/>
      </c>
      <c r="Y525" s="326" t="str">
        <f t="shared" si="157"/>
        <v/>
      </c>
    </row>
    <row r="526" spans="7:25" x14ac:dyDescent="0.25">
      <c r="G526" s="303">
        <f t="shared" si="154"/>
        <v>0</v>
      </c>
      <c r="H526" s="304">
        <f t="shared" si="158"/>
        <v>519</v>
      </c>
      <c r="I526" s="305" t="str">
        <f t="shared" si="160"/>
        <v/>
      </c>
      <c r="J526" s="305" t="str">
        <f t="shared" si="161"/>
        <v/>
      </c>
      <c r="K526" s="305" t="str">
        <f t="shared" si="162"/>
        <v/>
      </c>
      <c r="L526" s="305" t="str">
        <f t="shared" si="163"/>
        <v/>
      </c>
      <c r="M526" s="314" t="str">
        <f t="shared" si="164"/>
        <v/>
      </c>
      <c r="N526" s="305" t="str">
        <f t="shared" si="165"/>
        <v/>
      </c>
      <c r="O526" s="327" t="e">
        <f t="shared" si="156"/>
        <v>#NUM!</v>
      </c>
      <c r="P526" s="305"/>
      <c r="Q526" s="303">
        <f t="shared" si="155"/>
        <v>0</v>
      </c>
      <c r="R526" s="304">
        <f t="shared" si="159"/>
        <v>-419</v>
      </c>
      <c r="S526" s="305" t="str">
        <f t="shared" si="166"/>
        <v/>
      </c>
      <c r="T526" s="305" t="str">
        <f t="shared" si="167"/>
        <v/>
      </c>
      <c r="U526" s="305" t="str">
        <f t="shared" si="168"/>
        <v/>
      </c>
      <c r="V526" s="305" t="str">
        <f t="shared" si="169"/>
        <v/>
      </c>
      <c r="W526" s="314" t="str">
        <f t="shared" si="170"/>
        <v/>
      </c>
      <c r="X526" s="314" t="str">
        <f t="shared" si="171"/>
        <v/>
      </c>
      <c r="Y526" s="326" t="str">
        <f t="shared" si="157"/>
        <v/>
      </c>
    </row>
    <row r="527" spans="7:25" x14ac:dyDescent="0.25">
      <c r="G527" s="303">
        <f t="shared" si="154"/>
        <v>0</v>
      </c>
      <c r="H527" s="304">
        <f t="shared" si="158"/>
        <v>520</v>
      </c>
      <c r="I527" s="305" t="str">
        <f t="shared" si="160"/>
        <v/>
      </c>
      <c r="J527" s="305" t="str">
        <f t="shared" si="161"/>
        <v/>
      </c>
      <c r="K527" s="305" t="str">
        <f t="shared" si="162"/>
        <v/>
      </c>
      <c r="L527" s="305" t="str">
        <f t="shared" si="163"/>
        <v/>
      </c>
      <c r="M527" s="314" t="str">
        <f t="shared" si="164"/>
        <v/>
      </c>
      <c r="N527" s="305" t="str">
        <f t="shared" si="165"/>
        <v/>
      </c>
      <c r="O527" s="327" t="e">
        <f t="shared" si="156"/>
        <v>#NUM!</v>
      </c>
      <c r="P527" s="305"/>
      <c r="Q527" s="303">
        <f t="shared" si="155"/>
        <v>0</v>
      </c>
      <c r="R527" s="304">
        <f t="shared" si="159"/>
        <v>-420</v>
      </c>
      <c r="S527" s="305" t="str">
        <f t="shared" si="166"/>
        <v/>
      </c>
      <c r="T527" s="305" t="str">
        <f t="shared" si="167"/>
        <v/>
      </c>
      <c r="U527" s="305" t="str">
        <f t="shared" si="168"/>
        <v/>
      </c>
      <c r="V527" s="305" t="str">
        <f t="shared" si="169"/>
        <v/>
      </c>
      <c r="W527" s="314" t="str">
        <f t="shared" si="170"/>
        <v/>
      </c>
      <c r="X527" s="314" t="str">
        <f t="shared" si="171"/>
        <v/>
      </c>
      <c r="Y527" s="326" t="str">
        <f t="shared" si="157"/>
        <v/>
      </c>
    </row>
    <row r="528" spans="7:25" x14ac:dyDescent="0.25">
      <c r="G528" s="303">
        <f t="shared" si="154"/>
        <v>0</v>
      </c>
      <c r="H528" s="304">
        <f t="shared" si="158"/>
        <v>521</v>
      </c>
      <c r="I528" s="305" t="str">
        <f t="shared" si="160"/>
        <v/>
      </c>
      <c r="J528" s="305" t="str">
        <f t="shared" si="161"/>
        <v/>
      </c>
      <c r="K528" s="305" t="str">
        <f t="shared" si="162"/>
        <v/>
      </c>
      <c r="L528" s="305" t="str">
        <f t="shared" si="163"/>
        <v/>
      </c>
      <c r="M528" s="314" t="str">
        <f t="shared" si="164"/>
        <v/>
      </c>
      <c r="N528" s="305" t="str">
        <f t="shared" si="165"/>
        <v/>
      </c>
      <c r="O528" s="327" t="e">
        <f t="shared" si="156"/>
        <v>#NUM!</v>
      </c>
      <c r="P528" s="305"/>
      <c r="Q528" s="303">
        <f t="shared" si="155"/>
        <v>0</v>
      </c>
      <c r="R528" s="304">
        <f t="shared" si="159"/>
        <v>-421</v>
      </c>
      <c r="S528" s="305" t="str">
        <f t="shared" si="166"/>
        <v/>
      </c>
      <c r="T528" s="305" t="str">
        <f t="shared" si="167"/>
        <v/>
      </c>
      <c r="U528" s="305" t="str">
        <f t="shared" si="168"/>
        <v/>
      </c>
      <c r="V528" s="305" t="str">
        <f t="shared" si="169"/>
        <v/>
      </c>
      <c r="W528" s="314" t="str">
        <f t="shared" si="170"/>
        <v/>
      </c>
      <c r="X528" s="314" t="str">
        <f t="shared" si="171"/>
        <v/>
      </c>
      <c r="Y528" s="326" t="str">
        <f t="shared" si="157"/>
        <v/>
      </c>
    </row>
    <row r="529" spans="7:25" x14ac:dyDescent="0.25">
      <c r="G529" s="303">
        <f t="shared" si="154"/>
        <v>0</v>
      </c>
      <c r="H529" s="304">
        <f t="shared" si="158"/>
        <v>522</v>
      </c>
      <c r="I529" s="305" t="str">
        <f t="shared" si="160"/>
        <v/>
      </c>
      <c r="J529" s="305" t="str">
        <f t="shared" si="161"/>
        <v/>
      </c>
      <c r="K529" s="305" t="str">
        <f t="shared" si="162"/>
        <v/>
      </c>
      <c r="L529" s="305" t="str">
        <f t="shared" si="163"/>
        <v/>
      </c>
      <c r="M529" s="314" t="str">
        <f t="shared" si="164"/>
        <v/>
      </c>
      <c r="N529" s="305" t="str">
        <f t="shared" si="165"/>
        <v/>
      </c>
      <c r="O529" s="327" t="e">
        <f t="shared" si="156"/>
        <v>#NUM!</v>
      </c>
      <c r="P529" s="305"/>
      <c r="Q529" s="303">
        <f t="shared" si="155"/>
        <v>0</v>
      </c>
      <c r="R529" s="304">
        <f t="shared" si="159"/>
        <v>-422</v>
      </c>
      <c r="S529" s="305" t="str">
        <f t="shared" si="166"/>
        <v/>
      </c>
      <c r="T529" s="305" t="str">
        <f t="shared" si="167"/>
        <v/>
      </c>
      <c r="U529" s="305" t="str">
        <f t="shared" si="168"/>
        <v/>
      </c>
      <c r="V529" s="305" t="str">
        <f t="shared" si="169"/>
        <v/>
      </c>
      <c r="W529" s="314" t="str">
        <f t="shared" si="170"/>
        <v/>
      </c>
      <c r="X529" s="314" t="str">
        <f t="shared" si="171"/>
        <v/>
      </c>
      <c r="Y529" s="326" t="str">
        <f t="shared" si="157"/>
        <v/>
      </c>
    </row>
    <row r="530" spans="7:25" x14ac:dyDescent="0.25">
      <c r="G530" s="303">
        <f t="shared" si="154"/>
        <v>0</v>
      </c>
      <c r="H530" s="304">
        <f t="shared" si="158"/>
        <v>523</v>
      </c>
      <c r="I530" s="305" t="str">
        <f t="shared" si="160"/>
        <v/>
      </c>
      <c r="J530" s="305" t="str">
        <f t="shared" si="161"/>
        <v/>
      </c>
      <c r="K530" s="305" t="str">
        <f t="shared" si="162"/>
        <v/>
      </c>
      <c r="L530" s="305" t="str">
        <f t="shared" si="163"/>
        <v/>
      </c>
      <c r="M530" s="314" t="str">
        <f t="shared" si="164"/>
        <v/>
      </c>
      <c r="N530" s="305" t="str">
        <f t="shared" si="165"/>
        <v/>
      </c>
      <c r="O530" s="327" t="e">
        <f t="shared" si="156"/>
        <v>#NUM!</v>
      </c>
      <c r="P530" s="305"/>
      <c r="Q530" s="303">
        <f t="shared" si="155"/>
        <v>0</v>
      </c>
      <c r="R530" s="304">
        <f t="shared" si="159"/>
        <v>-423</v>
      </c>
      <c r="S530" s="305" t="str">
        <f t="shared" si="166"/>
        <v/>
      </c>
      <c r="T530" s="305" t="str">
        <f t="shared" si="167"/>
        <v/>
      </c>
      <c r="U530" s="305" t="str">
        <f t="shared" si="168"/>
        <v/>
      </c>
      <c r="V530" s="305" t="str">
        <f t="shared" si="169"/>
        <v/>
      </c>
      <c r="W530" s="314" t="str">
        <f t="shared" si="170"/>
        <v/>
      </c>
      <c r="X530" s="314" t="str">
        <f t="shared" si="171"/>
        <v/>
      </c>
      <c r="Y530" s="326" t="str">
        <f t="shared" si="157"/>
        <v/>
      </c>
    </row>
    <row r="531" spans="7:25" x14ac:dyDescent="0.25">
      <c r="G531" s="303">
        <f t="shared" si="154"/>
        <v>0</v>
      </c>
      <c r="H531" s="304">
        <f t="shared" si="158"/>
        <v>524</v>
      </c>
      <c r="I531" s="305" t="str">
        <f t="shared" si="160"/>
        <v/>
      </c>
      <c r="J531" s="305" t="str">
        <f t="shared" si="161"/>
        <v/>
      </c>
      <c r="K531" s="305" t="str">
        <f t="shared" si="162"/>
        <v/>
      </c>
      <c r="L531" s="305" t="str">
        <f t="shared" si="163"/>
        <v/>
      </c>
      <c r="M531" s="314" t="str">
        <f t="shared" si="164"/>
        <v/>
      </c>
      <c r="N531" s="305" t="str">
        <f t="shared" si="165"/>
        <v/>
      </c>
      <c r="O531" s="327" t="e">
        <f t="shared" si="156"/>
        <v>#NUM!</v>
      </c>
      <c r="P531" s="305"/>
      <c r="Q531" s="303">
        <f t="shared" si="155"/>
        <v>0</v>
      </c>
      <c r="R531" s="304">
        <f t="shared" si="159"/>
        <v>-424</v>
      </c>
      <c r="S531" s="305" t="str">
        <f t="shared" si="166"/>
        <v/>
      </c>
      <c r="T531" s="305" t="str">
        <f t="shared" si="167"/>
        <v/>
      </c>
      <c r="U531" s="305" t="str">
        <f t="shared" si="168"/>
        <v/>
      </c>
      <c r="V531" s="305" t="str">
        <f t="shared" si="169"/>
        <v/>
      </c>
      <c r="W531" s="314" t="str">
        <f t="shared" si="170"/>
        <v/>
      </c>
      <c r="X531" s="314" t="str">
        <f t="shared" si="171"/>
        <v/>
      </c>
      <c r="Y531" s="326" t="str">
        <f t="shared" si="157"/>
        <v/>
      </c>
    </row>
    <row r="532" spans="7:25" x14ac:dyDescent="0.25">
      <c r="G532" s="303">
        <f t="shared" si="154"/>
        <v>0</v>
      </c>
      <c r="H532" s="304">
        <f t="shared" si="158"/>
        <v>525</v>
      </c>
      <c r="I532" s="305" t="str">
        <f t="shared" si="160"/>
        <v/>
      </c>
      <c r="J532" s="305" t="str">
        <f t="shared" si="161"/>
        <v/>
      </c>
      <c r="K532" s="305" t="str">
        <f t="shared" si="162"/>
        <v/>
      </c>
      <c r="L532" s="305" t="str">
        <f t="shared" si="163"/>
        <v/>
      </c>
      <c r="M532" s="314" t="str">
        <f t="shared" si="164"/>
        <v/>
      </c>
      <c r="N532" s="305" t="str">
        <f t="shared" si="165"/>
        <v/>
      </c>
      <c r="O532" s="327" t="e">
        <f t="shared" si="156"/>
        <v>#NUM!</v>
      </c>
      <c r="P532" s="305"/>
      <c r="Q532" s="303">
        <f t="shared" si="155"/>
        <v>0</v>
      </c>
      <c r="R532" s="304">
        <f t="shared" si="159"/>
        <v>-425</v>
      </c>
      <c r="S532" s="305" t="str">
        <f t="shared" si="166"/>
        <v/>
      </c>
      <c r="T532" s="305" t="str">
        <f t="shared" si="167"/>
        <v/>
      </c>
      <c r="U532" s="305" t="str">
        <f t="shared" si="168"/>
        <v/>
      </c>
      <c r="V532" s="305" t="str">
        <f t="shared" si="169"/>
        <v/>
      </c>
      <c r="W532" s="314" t="str">
        <f t="shared" si="170"/>
        <v/>
      </c>
      <c r="X532" s="314" t="str">
        <f t="shared" si="171"/>
        <v/>
      </c>
      <c r="Y532" s="326" t="str">
        <f t="shared" si="157"/>
        <v/>
      </c>
    </row>
    <row r="533" spans="7:25" x14ac:dyDescent="0.25">
      <c r="G533" s="303">
        <f t="shared" si="154"/>
        <v>0</v>
      </c>
      <c r="H533" s="304">
        <f t="shared" si="158"/>
        <v>526</v>
      </c>
      <c r="I533" s="305" t="str">
        <f t="shared" si="160"/>
        <v/>
      </c>
      <c r="J533" s="305" t="str">
        <f t="shared" si="161"/>
        <v/>
      </c>
      <c r="K533" s="305" t="str">
        <f t="shared" si="162"/>
        <v/>
      </c>
      <c r="L533" s="305" t="str">
        <f t="shared" si="163"/>
        <v/>
      </c>
      <c r="M533" s="314" t="str">
        <f t="shared" si="164"/>
        <v/>
      </c>
      <c r="N533" s="305" t="str">
        <f t="shared" si="165"/>
        <v/>
      </c>
      <c r="O533" s="327" t="e">
        <f t="shared" si="156"/>
        <v>#NUM!</v>
      </c>
      <c r="P533" s="305"/>
      <c r="Q533" s="303">
        <f t="shared" si="155"/>
        <v>0</v>
      </c>
      <c r="R533" s="304">
        <f t="shared" si="159"/>
        <v>-426</v>
      </c>
      <c r="S533" s="305" t="str">
        <f t="shared" si="166"/>
        <v/>
      </c>
      <c r="T533" s="305" t="str">
        <f t="shared" si="167"/>
        <v/>
      </c>
      <c r="U533" s="305" t="str">
        <f t="shared" si="168"/>
        <v/>
      </c>
      <c r="V533" s="305" t="str">
        <f t="shared" si="169"/>
        <v/>
      </c>
      <c r="W533" s="314" t="str">
        <f t="shared" si="170"/>
        <v/>
      </c>
      <c r="X533" s="314" t="str">
        <f t="shared" si="171"/>
        <v/>
      </c>
      <c r="Y533" s="326" t="str">
        <f t="shared" si="157"/>
        <v/>
      </c>
    </row>
    <row r="534" spans="7:25" x14ac:dyDescent="0.25">
      <c r="G534" s="303">
        <f t="shared" si="154"/>
        <v>0</v>
      </c>
      <c r="H534" s="304">
        <f t="shared" si="158"/>
        <v>527</v>
      </c>
      <c r="I534" s="305" t="str">
        <f t="shared" si="160"/>
        <v/>
      </c>
      <c r="J534" s="305" t="str">
        <f t="shared" si="161"/>
        <v/>
      </c>
      <c r="K534" s="305" t="str">
        <f t="shared" si="162"/>
        <v/>
      </c>
      <c r="L534" s="305" t="str">
        <f t="shared" si="163"/>
        <v/>
      </c>
      <c r="M534" s="314" t="str">
        <f t="shared" si="164"/>
        <v/>
      </c>
      <c r="N534" s="305" t="str">
        <f t="shared" si="165"/>
        <v/>
      </c>
      <c r="O534" s="327" t="e">
        <f t="shared" si="156"/>
        <v>#NUM!</v>
      </c>
      <c r="P534" s="305"/>
      <c r="Q534" s="303">
        <f t="shared" si="155"/>
        <v>0</v>
      </c>
      <c r="R534" s="304">
        <f t="shared" si="159"/>
        <v>-427</v>
      </c>
      <c r="S534" s="305" t="str">
        <f t="shared" si="166"/>
        <v/>
      </c>
      <c r="T534" s="305" t="str">
        <f t="shared" si="167"/>
        <v/>
      </c>
      <c r="U534" s="305" t="str">
        <f t="shared" si="168"/>
        <v/>
      </c>
      <c r="V534" s="305" t="str">
        <f t="shared" si="169"/>
        <v/>
      </c>
      <c r="W534" s="314" t="str">
        <f t="shared" si="170"/>
        <v/>
      </c>
      <c r="X534" s="314" t="str">
        <f t="shared" si="171"/>
        <v/>
      </c>
      <c r="Y534" s="326" t="str">
        <f t="shared" si="157"/>
        <v/>
      </c>
    </row>
    <row r="535" spans="7:25" x14ac:dyDescent="0.25">
      <c r="G535" s="303">
        <f t="shared" si="154"/>
        <v>0</v>
      </c>
      <c r="H535" s="304">
        <f t="shared" si="158"/>
        <v>528</v>
      </c>
      <c r="I535" s="305" t="str">
        <f t="shared" si="160"/>
        <v/>
      </c>
      <c r="J535" s="305" t="str">
        <f t="shared" si="161"/>
        <v/>
      </c>
      <c r="K535" s="305" t="str">
        <f t="shared" si="162"/>
        <v/>
      </c>
      <c r="L535" s="305" t="str">
        <f t="shared" si="163"/>
        <v/>
      </c>
      <c r="M535" s="314" t="str">
        <f t="shared" si="164"/>
        <v/>
      </c>
      <c r="N535" s="305" t="str">
        <f t="shared" si="165"/>
        <v/>
      </c>
      <c r="O535" s="327" t="e">
        <f t="shared" si="156"/>
        <v>#NUM!</v>
      </c>
      <c r="P535" s="305"/>
      <c r="Q535" s="303">
        <f t="shared" si="155"/>
        <v>0</v>
      </c>
      <c r="R535" s="304">
        <f t="shared" si="159"/>
        <v>-428</v>
      </c>
      <c r="S535" s="305" t="str">
        <f t="shared" si="166"/>
        <v/>
      </c>
      <c r="T535" s="305" t="str">
        <f t="shared" si="167"/>
        <v/>
      </c>
      <c r="U535" s="305" t="str">
        <f t="shared" si="168"/>
        <v/>
      </c>
      <c r="V535" s="305" t="str">
        <f t="shared" si="169"/>
        <v/>
      </c>
      <c r="W535" s="314" t="str">
        <f t="shared" si="170"/>
        <v/>
      </c>
      <c r="X535" s="314" t="str">
        <f t="shared" si="171"/>
        <v/>
      </c>
      <c r="Y535" s="326" t="str">
        <f t="shared" si="157"/>
        <v/>
      </c>
    </row>
    <row r="536" spans="7:25" x14ac:dyDescent="0.25">
      <c r="G536" s="303">
        <f t="shared" si="154"/>
        <v>0</v>
      </c>
      <c r="H536" s="304">
        <f t="shared" si="158"/>
        <v>529</v>
      </c>
      <c r="I536" s="305" t="str">
        <f t="shared" si="160"/>
        <v/>
      </c>
      <c r="J536" s="305" t="str">
        <f t="shared" si="161"/>
        <v/>
      </c>
      <c r="K536" s="305" t="str">
        <f t="shared" si="162"/>
        <v/>
      </c>
      <c r="L536" s="305" t="str">
        <f t="shared" si="163"/>
        <v/>
      </c>
      <c r="M536" s="314" t="str">
        <f t="shared" si="164"/>
        <v/>
      </c>
      <c r="N536" s="305" t="str">
        <f t="shared" si="165"/>
        <v/>
      </c>
      <c r="O536" s="327" t="e">
        <f t="shared" si="156"/>
        <v>#NUM!</v>
      </c>
      <c r="P536" s="305"/>
      <c r="Q536" s="303">
        <f t="shared" si="155"/>
        <v>0</v>
      </c>
      <c r="R536" s="304">
        <f t="shared" si="159"/>
        <v>-429</v>
      </c>
      <c r="S536" s="305" t="str">
        <f t="shared" si="166"/>
        <v/>
      </c>
      <c r="T536" s="305" t="str">
        <f t="shared" si="167"/>
        <v/>
      </c>
      <c r="U536" s="305" t="str">
        <f t="shared" si="168"/>
        <v/>
      </c>
      <c r="V536" s="305" t="str">
        <f t="shared" si="169"/>
        <v/>
      </c>
      <c r="W536" s="314" t="str">
        <f t="shared" si="170"/>
        <v/>
      </c>
      <c r="X536" s="314" t="str">
        <f t="shared" si="171"/>
        <v/>
      </c>
      <c r="Y536" s="326" t="str">
        <f t="shared" si="157"/>
        <v/>
      </c>
    </row>
    <row r="537" spans="7:25" x14ac:dyDescent="0.25">
      <c r="G537" s="303">
        <f t="shared" si="154"/>
        <v>0</v>
      </c>
      <c r="H537" s="304">
        <f t="shared" si="158"/>
        <v>530</v>
      </c>
      <c r="I537" s="305" t="str">
        <f t="shared" si="160"/>
        <v/>
      </c>
      <c r="J537" s="305" t="str">
        <f t="shared" si="161"/>
        <v/>
      </c>
      <c r="K537" s="305" t="str">
        <f t="shared" si="162"/>
        <v/>
      </c>
      <c r="L537" s="305" t="str">
        <f t="shared" si="163"/>
        <v/>
      </c>
      <c r="M537" s="314" t="str">
        <f t="shared" si="164"/>
        <v/>
      </c>
      <c r="N537" s="305" t="str">
        <f t="shared" si="165"/>
        <v/>
      </c>
      <c r="O537" s="327" t="e">
        <f t="shared" si="156"/>
        <v>#NUM!</v>
      </c>
      <c r="P537" s="305"/>
      <c r="Q537" s="303">
        <f t="shared" si="155"/>
        <v>0</v>
      </c>
      <c r="R537" s="304">
        <f t="shared" si="159"/>
        <v>-430</v>
      </c>
      <c r="S537" s="305" t="str">
        <f t="shared" si="166"/>
        <v/>
      </c>
      <c r="T537" s="305" t="str">
        <f t="shared" si="167"/>
        <v/>
      </c>
      <c r="U537" s="305" t="str">
        <f t="shared" si="168"/>
        <v/>
      </c>
      <c r="V537" s="305" t="str">
        <f t="shared" si="169"/>
        <v/>
      </c>
      <c r="W537" s="314" t="str">
        <f t="shared" si="170"/>
        <v/>
      </c>
      <c r="X537" s="314" t="str">
        <f t="shared" si="171"/>
        <v/>
      </c>
      <c r="Y537" s="326" t="str">
        <f t="shared" si="157"/>
        <v/>
      </c>
    </row>
    <row r="538" spans="7:25" x14ac:dyDescent="0.25">
      <c r="G538" s="303">
        <f t="shared" si="154"/>
        <v>0</v>
      </c>
      <c r="H538" s="304">
        <f t="shared" si="158"/>
        <v>531</v>
      </c>
      <c r="I538" s="305" t="str">
        <f t="shared" si="160"/>
        <v/>
      </c>
      <c r="J538" s="305" t="str">
        <f t="shared" si="161"/>
        <v/>
      </c>
      <c r="K538" s="305" t="str">
        <f t="shared" si="162"/>
        <v/>
      </c>
      <c r="L538" s="305" t="str">
        <f t="shared" si="163"/>
        <v/>
      </c>
      <c r="M538" s="314" t="str">
        <f t="shared" si="164"/>
        <v/>
      </c>
      <c r="N538" s="305" t="str">
        <f t="shared" si="165"/>
        <v/>
      </c>
      <c r="O538" s="327" t="e">
        <f t="shared" si="156"/>
        <v>#NUM!</v>
      </c>
      <c r="P538" s="305"/>
      <c r="Q538" s="303">
        <f t="shared" si="155"/>
        <v>0</v>
      </c>
      <c r="R538" s="304">
        <f t="shared" si="159"/>
        <v>-431</v>
      </c>
      <c r="S538" s="305" t="str">
        <f t="shared" si="166"/>
        <v/>
      </c>
      <c r="T538" s="305" t="str">
        <f t="shared" si="167"/>
        <v/>
      </c>
      <c r="U538" s="305" t="str">
        <f t="shared" si="168"/>
        <v/>
      </c>
      <c r="V538" s="305" t="str">
        <f t="shared" si="169"/>
        <v/>
      </c>
      <c r="W538" s="314" t="str">
        <f t="shared" si="170"/>
        <v/>
      </c>
      <c r="X538" s="314" t="str">
        <f t="shared" si="171"/>
        <v/>
      </c>
      <c r="Y538" s="326" t="str">
        <f t="shared" si="157"/>
        <v/>
      </c>
    </row>
    <row r="539" spans="7:25" x14ac:dyDescent="0.25">
      <c r="G539" s="303">
        <f t="shared" si="154"/>
        <v>0</v>
      </c>
      <c r="H539" s="304">
        <f t="shared" si="158"/>
        <v>532</v>
      </c>
      <c r="I539" s="305" t="str">
        <f t="shared" si="160"/>
        <v/>
      </c>
      <c r="J539" s="305" t="str">
        <f t="shared" si="161"/>
        <v/>
      </c>
      <c r="K539" s="305" t="str">
        <f t="shared" si="162"/>
        <v/>
      </c>
      <c r="L539" s="305" t="str">
        <f t="shared" si="163"/>
        <v/>
      </c>
      <c r="M539" s="314" t="str">
        <f t="shared" si="164"/>
        <v/>
      </c>
      <c r="N539" s="305" t="str">
        <f t="shared" si="165"/>
        <v/>
      </c>
      <c r="O539" s="327" t="e">
        <f t="shared" si="156"/>
        <v>#NUM!</v>
      </c>
      <c r="P539" s="305"/>
      <c r="Q539" s="303">
        <f t="shared" si="155"/>
        <v>0</v>
      </c>
      <c r="R539" s="304">
        <f t="shared" si="159"/>
        <v>-432</v>
      </c>
      <c r="S539" s="305" t="str">
        <f t="shared" si="166"/>
        <v/>
      </c>
      <c r="T539" s="305" t="str">
        <f t="shared" si="167"/>
        <v/>
      </c>
      <c r="U539" s="305" t="str">
        <f t="shared" si="168"/>
        <v/>
      </c>
      <c r="V539" s="305" t="str">
        <f t="shared" si="169"/>
        <v/>
      </c>
      <c r="W539" s="314" t="str">
        <f t="shared" si="170"/>
        <v/>
      </c>
      <c r="X539" s="314" t="str">
        <f t="shared" si="171"/>
        <v/>
      </c>
      <c r="Y539" s="326" t="str">
        <f t="shared" si="157"/>
        <v/>
      </c>
    </row>
    <row r="540" spans="7:25" x14ac:dyDescent="0.25">
      <c r="G540" s="303">
        <f t="shared" si="154"/>
        <v>0</v>
      </c>
      <c r="H540" s="304">
        <f t="shared" si="158"/>
        <v>533</v>
      </c>
      <c r="I540" s="305" t="str">
        <f t="shared" si="160"/>
        <v/>
      </c>
      <c r="J540" s="305" t="str">
        <f t="shared" si="161"/>
        <v/>
      </c>
      <c r="K540" s="305" t="str">
        <f t="shared" si="162"/>
        <v/>
      </c>
      <c r="L540" s="305" t="str">
        <f t="shared" si="163"/>
        <v/>
      </c>
      <c r="M540" s="314" t="str">
        <f t="shared" si="164"/>
        <v/>
      </c>
      <c r="N540" s="305" t="str">
        <f t="shared" si="165"/>
        <v/>
      </c>
      <c r="O540" s="327" t="e">
        <f t="shared" si="156"/>
        <v>#NUM!</v>
      </c>
      <c r="P540" s="305"/>
      <c r="Q540" s="303">
        <f t="shared" si="155"/>
        <v>0</v>
      </c>
      <c r="R540" s="304">
        <f t="shared" si="159"/>
        <v>-433</v>
      </c>
      <c r="S540" s="305" t="str">
        <f t="shared" si="166"/>
        <v/>
      </c>
      <c r="T540" s="305" t="str">
        <f t="shared" si="167"/>
        <v/>
      </c>
      <c r="U540" s="305" t="str">
        <f t="shared" si="168"/>
        <v/>
      </c>
      <c r="V540" s="305" t="str">
        <f t="shared" si="169"/>
        <v/>
      </c>
      <c r="W540" s="314" t="str">
        <f t="shared" si="170"/>
        <v/>
      </c>
      <c r="X540" s="314" t="str">
        <f t="shared" si="171"/>
        <v/>
      </c>
      <c r="Y540" s="326" t="str">
        <f t="shared" si="157"/>
        <v/>
      </c>
    </row>
    <row r="541" spans="7:25" x14ac:dyDescent="0.25">
      <c r="G541" s="303">
        <f t="shared" si="154"/>
        <v>0</v>
      </c>
      <c r="H541" s="304">
        <f t="shared" si="158"/>
        <v>534</v>
      </c>
      <c r="I541" s="305" t="str">
        <f t="shared" si="160"/>
        <v/>
      </c>
      <c r="J541" s="305" t="str">
        <f t="shared" si="161"/>
        <v/>
      </c>
      <c r="K541" s="305" t="str">
        <f t="shared" si="162"/>
        <v/>
      </c>
      <c r="L541" s="305" t="str">
        <f t="shared" si="163"/>
        <v/>
      </c>
      <c r="M541" s="314" t="str">
        <f t="shared" si="164"/>
        <v/>
      </c>
      <c r="N541" s="305" t="str">
        <f t="shared" si="165"/>
        <v/>
      </c>
      <c r="O541" s="327" t="e">
        <f t="shared" si="156"/>
        <v>#NUM!</v>
      </c>
      <c r="P541" s="305"/>
      <c r="Q541" s="303">
        <f t="shared" si="155"/>
        <v>0</v>
      </c>
      <c r="R541" s="304">
        <f t="shared" si="159"/>
        <v>-434</v>
      </c>
      <c r="S541" s="305" t="str">
        <f t="shared" si="166"/>
        <v/>
      </c>
      <c r="T541" s="305" t="str">
        <f t="shared" si="167"/>
        <v/>
      </c>
      <c r="U541" s="305" t="str">
        <f t="shared" si="168"/>
        <v/>
      </c>
      <c r="V541" s="305" t="str">
        <f t="shared" si="169"/>
        <v/>
      </c>
      <c r="W541" s="314" t="str">
        <f t="shared" si="170"/>
        <v/>
      </c>
      <c r="X541" s="314" t="str">
        <f t="shared" si="171"/>
        <v/>
      </c>
      <c r="Y541" s="326" t="str">
        <f t="shared" si="157"/>
        <v/>
      </c>
    </row>
    <row r="542" spans="7:25" x14ac:dyDescent="0.25">
      <c r="G542" s="303">
        <f t="shared" si="154"/>
        <v>0</v>
      </c>
      <c r="H542" s="304">
        <f t="shared" si="158"/>
        <v>535</v>
      </c>
      <c r="I542" s="305" t="str">
        <f t="shared" si="160"/>
        <v/>
      </c>
      <c r="J542" s="305" t="str">
        <f t="shared" si="161"/>
        <v/>
      </c>
      <c r="K542" s="305" t="str">
        <f t="shared" si="162"/>
        <v/>
      </c>
      <c r="L542" s="305" t="str">
        <f t="shared" si="163"/>
        <v/>
      </c>
      <c r="M542" s="314" t="str">
        <f t="shared" si="164"/>
        <v/>
      </c>
      <c r="N542" s="305" t="str">
        <f t="shared" si="165"/>
        <v/>
      </c>
      <c r="O542" s="327" t="e">
        <f t="shared" si="156"/>
        <v>#NUM!</v>
      </c>
      <c r="P542" s="305"/>
      <c r="Q542" s="303">
        <f t="shared" si="155"/>
        <v>0</v>
      </c>
      <c r="R542" s="304">
        <f t="shared" si="159"/>
        <v>-435</v>
      </c>
      <c r="S542" s="305" t="str">
        <f t="shared" si="166"/>
        <v/>
      </c>
      <c r="T542" s="305" t="str">
        <f t="shared" si="167"/>
        <v/>
      </c>
      <c r="U542" s="305" t="str">
        <f t="shared" si="168"/>
        <v/>
      </c>
      <c r="V542" s="305" t="str">
        <f t="shared" si="169"/>
        <v/>
      </c>
      <c r="W542" s="314" t="str">
        <f t="shared" si="170"/>
        <v/>
      </c>
      <c r="X542" s="314" t="str">
        <f t="shared" si="171"/>
        <v/>
      </c>
      <c r="Y542" s="326" t="str">
        <f t="shared" si="157"/>
        <v/>
      </c>
    </row>
    <row r="543" spans="7:25" x14ac:dyDescent="0.25">
      <c r="G543" s="303">
        <f t="shared" si="154"/>
        <v>0</v>
      </c>
      <c r="H543" s="304">
        <f t="shared" si="158"/>
        <v>536</v>
      </c>
      <c r="I543" s="305" t="str">
        <f t="shared" si="160"/>
        <v/>
      </c>
      <c r="J543" s="305" t="str">
        <f t="shared" si="161"/>
        <v/>
      </c>
      <c r="K543" s="305" t="str">
        <f t="shared" si="162"/>
        <v/>
      </c>
      <c r="L543" s="305" t="str">
        <f t="shared" si="163"/>
        <v/>
      </c>
      <c r="M543" s="314" t="str">
        <f t="shared" si="164"/>
        <v/>
      </c>
      <c r="N543" s="305" t="str">
        <f t="shared" si="165"/>
        <v/>
      </c>
      <c r="O543" s="327" t="e">
        <f t="shared" si="156"/>
        <v>#NUM!</v>
      </c>
      <c r="P543" s="305"/>
      <c r="Q543" s="303">
        <f t="shared" si="155"/>
        <v>0</v>
      </c>
      <c r="R543" s="304">
        <f t="shared" si="159"/>
        <v>-436</v>
      </c>
      <c r="S543" s="305" t="str">
        <f t="shared" si="166"/>
        <v/>
      </c>
      <c r="T543" s="305" t="str">
        <f t="shared" si="167"/>
        <v/>
      </c>
      <c r="U543" s="305" t="str">
        <f t="shared" si="168"/>
        <v/>
      </c>
      <c r="V543" s="305" t="str">
        <f t="shared" si="169"/>
        <v/>
      </c>
      <c r="W543" s="314" t="str">
        <f t="shared" si="170"/>
        <v/>
      </c>
      <c r="X543" s="314" t="str">
        <f t="shared" si="171"/>
        <v/>
      </c>
      <c r="Y543" s="326" t="str">
        <f t="shared" si="157"/>
        <v/>
      </c>
    </row>
    <row r="544" spans="7:25" x14ac:dyDescent="0.25">
      <c r="G544" s="303">
        <f t="shared" si="154"/>
        <v>0</v>
      </c>
      <c r="H544" s="304">
        <f t="shared" si="158"/>
        <v>537</v>
      </c>
      <c r="I544" s="305" t="str">
        <f t="shared" si="160"/>
        <v/>
      </c>
      <c r="J544" s="305" t="str">
        <f t="shared" si="161"/>
        <v/>
      </c>
      <c r="K544" s="305" t="str">
        <f t="shared" si="162"/>
        <v/>
      </c>
      <c r="L544" s="305" t="str">
        <f t="shared" si="163"/>
        <v/>
      </c>
      <c r="M544" s="314" t="str">
        <f t="shared" si="164"/>
        <v/>
      </c>
      <c r="N544" s="305" t="str">
        <f t="shared" si="165"/>
        <v/>
      </c>
      <c r="O544" s="327" t="e">
        <f t="shared" si="156"/>
        <v>#NUM!</v>
      </c>
      <c r="P544" s="305"/>
      <c r="Q544" s="303">
        <f t="shared" si="155"/>
        <v>0</v>
      </c>
      <c r="R544" s="304">
        <f t="shared" si="159"/>
        <v>-437</v>
      </c>
      <c r="S544" s="305" t="str">
        <f t="shared" si="166"/>
        <v/>
      </c>
      <c r="T544" s="305" t="str">
        <f t="shared" si="167"/>
        <v/>
      </c>
      <c r="U544" s="305" t="str">
        <f t="shared" si="168"/>
        <v/>
      </c>
      <c r="V544" s="305" t="str">
        <f t="shared" si="169"/>
        <v/>
      </c>
      <c r="W544" s="314" t="str">
        <f t="shared" si="170"/>
        <v/>
      </c>
      <c r="X544" s="314" t="str">
        <f t="shared" si="171"/>
        <v/>
      </c>
      <c r="Y544" s="326" t="str">
        <f t="shared" si="157"/>
        <v/>
      </c>
    </row>
    <row r="545" spans="7:25" x14ac:dyDescent="0.25">
      <c r="G545" s="303">
        <f t="shared" si="154"/>
        <v>0</v>
      </c>
      <c r="H545" s="304">
        <f t="shared" si="158"/>
        <v>538</v>
      </c>
      <c r="I545" s="305" t="str">
        <f t="shared" si="160"/>
        <v/>
      </c>
      <c r="J545" s="305" t="str">
        <f t="shared" si="161"/>
        <v/>
      </c>
      <c r="K545" s="305" t="str">
        <f t="shared" si="162"/>
        <v/>
      </c>
      <c r="L545" s="305" t="str">
        <f t="shared" si="163"/>
        <v/>
      </c>
      <c r="M545" s="314" t="str">
        <f t="shared" si="164"/>
        <v/>
      </c>
      <c r="N545" s="305" t="str">
        <f t="shared" si="165"/>
        <v/>
      </c>
      <c r="O545" s="327" t="e">
        <f t="shared" si="156"/>
        <v>#NUM!</v>
      </c>
      <c r="P545" s="305"/>
      <c r="Q545" s="303">
        <f t="shared" si="155"/>
        <v>0</v>
      </c>
      <c r="R545" s="304">
        <f t="shared" si="159"/>
        <v>-438</v>
      </c>
      <c r="S545" s="305" t="str">
        <f t="shared" si="166"/>
        <v/>
      </c>
      <c r="T545" s="305" t="str">
        <f t="shared" si="167"/>
        <v/>
      </c>
      <c r="U545" s="305" t="str">
        <f t="shared" si="168"/>
        <v/>
      </c>
      <c r="V545" s="305" t="str">
        <f t="shared" si="169"/>
        <v/>
      </c>
      <c r="W545" s="314" t="str">
        <f t="shared" si="170"/>
        <v/>
      </c>
      <c r="X545" s="314" t="str">
        <f t="shared" si="171"/>
        <v/>
      </c>
      <c r="Y545" s="326" t="str">
        <f t="shared" si="157"/>
        <v/>
      </c>
    </row>
    <row r="546" spans="7:25" x14ac:dyDescent="0.25">
      <c r="G546" s="303">
        <f t="shared" si="154"/>
        <v>0</v>
      </c>
      <c r="H546" s="304">
        <f t="shared" si="158"/>
        <v>539</v>
      </c>
      <c r="I546" s="305" t="str">
        <f t="shared" si="160"/>
        <v/>
      </c>
      <c r="J546" s="305" t="str">
        <f t="shared" si="161"/>
        <v/>
      </c>
      <c r="K546" s="305" t="str">
        <f t="shared" si="162"/>
        <v/>
      </c>
      <c r="L546" s="305" t="str">
        <f t="shared" si="163"/>
        <v/>
      </c>
      <c r="M546" s="314" t="str">
        <f t="shared" si="164"/>
        <v/>
      </c>
      <c r="N546" s="305" t="str">
        <f t="shared" si="165"/>
        <v/>
      </c>
      <c r="O546" s="327" t="e">
        <f t="shared" si="156"/>
        <v>#NUM!</v>
      </c>
      <c r="P546" s="305"/>
      <c r="Q546" s="303">
        <f t="shared" si="155"/>
        <v>0</v>
      </c>
      <c r="R546" s="304">
        <f t="shared" si="159"/>
        <v>-439</v>
      </c>
      <c r="S546" s="305" t="str">
        <f t="shared" si="166"/>
        <v/>
      </c>
      <c r="T546" s="305" t="str">
        <f t="shared" si="167"/>
        <v/>
      </c>
      <c r="U546" s="305" t="str">
        <f t="shared" si="168"/>
        <v/>
      </c>
      <c r="V546" s="305" t="str">
        <f t="shared" si="169"/>
        <v/>
      </c>
      <c r="W546" s="314" t="str">
        <f t="shared" si="170"/>
        <v/>
      </c>
      <c r="X546" s="314" t="str">
        <f t="shared" si="171"/>
        <v/>
      </c>
      <c r="Y546" s="326" t="str">
        <f t="shared" si="157"/>
        <v/>
      </c>
    </row>
    <row r="547" spans="7:25" x14ac:dyDescent="0.25">
      <c r="G547" s="303">
        <f t="shared" si="154"/>
        <v>0</v>
      </c>
      <c r="H547" s="304">
        <f t="shared" si="158"/>
        <v>540</v>
      </c>
      <c r="I547" s="305" t="str">
        <f t="shared" si="160"/>
        <v/>
      </c>
      <c r="J547" s="305" t="str">
        <f t="shared" si="161"/>
        <v/>
      </c>
      <c r="K547" s="305" t="str">
        <f t="shared" si="162"/>
        <v/>
      </c>
      <c r="L547" s="305" t="str">
        <f t="shared" si="163"/>
        <v/>
      </c>
      <c r="M547" s="314" t="str">
        <f t="shared" si="164"/>
        <v/>
      </c>
      <c r="N547" s="305" t="str">
        <f t="shared" si="165"/>
        <v/>
      </c>
      <c r="O547" s="327" t="e">
        <f t="shared" si="156"/>
        <v>#NUM!</v>
      </c>
      <c r="P547" s="305"/>
      <c r="Q547" s="303">
        <f t="shared" si="155"/>
        <v>0</v>
      </c>
      <c r="R547" s="304">
        <f t="shared" si="159"/>
        <v>-440</v>
      </c>
      <c r="S547" s="305" t="str">
        <f t="shared" si="166"/>
        <v/>
      </c>
      <c r="T547" s="305" t="str">
        <f t="shared" si="167"/>
        <v/>
      </c>
      <c r="U547" s="305" t="str">
        <f t="shared" si="168"/>
        <v/>
      </c>
      <c r="V547" s="305" t="str">
        <f t="shared" si="169"/>
        <v/>
      </c>
      <c r="W547" s="314" t="str">
        <f t="shared" si="170"/>
        <v/>
      </c>
      <c r="X547" s="314" t="str">
        <f t="shared" si="171"/>
        <v/>
      </c>
      <c r="Y547" s="326" t="str">
        <f t="shared" si="157"/>
        <v/>
      </c>
    </row>
    <row r="548" spans="7:25" x14ac:dyDescent="0.25">
      <c r="G548" s="303">
        <f t="shared" si="154"/>
        <v>0</v>
      </c>
      <c r="H548" s="304">
        <f t="shared" si="158"/>
        <v>541</v>
      </c>
      <c r="I548" s="305" t="str">
        <f t="shared" si="160"/>
        <v/>
      </c>
      <c r="J548" s="305" t="str">
        <f t="shared" si="161"/>
        <v/>
      </c>
      <c r="K548" s="305" t="str">
        <f t="shared" si="162"/>
        <v/>
      </c>
      <c r="L548" s="305" t="str">
        <f t="shared" si="163"/>
        <v/>
      </c>
      <c r="M548" s="314" t="str">
        <f t="shared" si="164"/>
        <v/>
      </c>
      <c r="N548" s="305" t="str">
        <f t="shared" si="165"/>
        <v/>
      </c>
      <c r="O548" s="327" t="e">
        <f t="shared" si="156"/>
        <v>#NUM!</v>
      </c>
      <c r="P548" s="305"/>
      <c r="Q548" s="303">
        <f t="shared" si="155"/>
        <v>0</v>
      </c>
      <c r="R548" s="304">
        <f t="shared" si="159"/>
        <v>-441</v>
      </c>
      <c r="S548" s="305" t="str">
        <f t="shared" si="166"/>
        <v/>
      </c>
      <c r="T548" s="305" t="str">
        <f t="shared" si="167"/>
        <v/>
      </c>
      <c r="U548" s="305" t="str">
        <f t="shared" si="168"/>
        <v/>
      </c>
      <c r="V548" s="305" t="str">
        <f t="shared" si="169"/>
        <v/>
      </c>
      <c r="W548" s="314" t="str">
        <f t="shared" si="170"/>
        <v/>
      </c>
      <c r="X548" s="314" t="str">
        <f t="shared" si="171"/>
        <v/>
      </c>
      <c r="Y548" s="326" t="str">
        <f t="shared" si="157"/>
        <v/>
      </c>
    </row>
    <row r="549" spans="7:25" x14ac:dyDescent="0.25">
      <c r="G549" s="303">
        <f t="shared" si="154"/>
        <v>0</v>
      </c>
      <c r="H549" s="304">
        <f t="shared" si="158"/>
        <v>542</v>
      </c>
      <c r="I549" s="305" t="str">
        <f t="shared" si="160"/>
        <v/>
      </c>
      <c r="J549" s="305" t="str">
        <f t="shared" si="161"/>
        <v/>
      </c>
      <c r="K549" s="305" t="str">
        <f t="shared" si="162"/>
        <v/>
      </c>
      <c r="L549" s="305" t="str">
        <f t="shared" si="163"/>
        <v/>
      </c>
      <c r="M549" s="314" t="str">
        <f t="shared" si="164"/>
        <v/>
      </c>
      <c r="N549" s="305" t="str">
        <f t="shared" si="165"/>
        <v/>
      </c>
      <c r="O549" s="327" t="e">
        <f t="shared" si="156"/>
        <v>#NUM!</v>
      </c>
      <c r="P549" s="305"/>
      <c r="Q549" s="303">
        <f t="shared" si="155"/>
        <v>0</v>
      </c>
      <c r="R549" s="304">
        <f t="shared" si="159"/>
        <v>-442</v>
      </c>
      <c r="S549" s="305" t="str">
        <f t="shared" si="166"/>
        <v/>
      </c>
      <c r="T549" s="305" t="str">
        <f t="shared" si="167"/>
        <v/>
      </c>
      <c r="U549" s="305" t="str">
        <f t="shared" si="168"/>
        <v/>
      </c>
      <c r="V549" s="305" t="str">
        <f t="shared" si="169"/>
        <v/>
      </c>
      <c r="W549" s="314" t="str">
        <f t="shared" si="170"/>
        <v/>
      </c>
      <c r="X549" s="314" t="str">
        <f t="shared" si="171"/>
        <v/>
      </c>
      <c r="Y549" s="326" t="str">
        <f t="shared" si="157"/>
        <v/>
      </c>
    </row>
    <row r="550" spans="7:25" x14ac:dyDescent="0.25">
      <c r="G550" s="303">
        <f t="shared" si="154"/>
        <v>0</v>
      </c>
      <c r="H550" s="304">
        <f t="shared" si="158"/>
        <v>543</v>
      </c>
      <c r="I550" s="305" t="str">
        <f t="shared" si="160"/>
        <v/>
      </c>
      <c r="J550" s="305" t="str">
        <f t="shared" si="161"/>
        <v/>
      </c>
      <c r="K550" s="305" t="str">
        <f t="shared" si="162"/>
        <v/>
      </c>
      <c r="L550" s="305" t="str">
        <f t="shared" si="163"/>
        <v/>
      </c>
      <c r="M550" s="314" t="str">
        <f t="shared" si="164"/>
        <v/>
      </c>
      <c r="N550" s="305" t="str">
        <f t="shared" si="165"/>
        <v/>
      </c>
      <c r="O550" s="327" t="e">
        <f t="shared" si="156"/>
        <v>#NUM!</v>
      </c>
      <c r="P550" s="305"/>
      <c r="Q550" s="303">
        <f t="shared" si="155"/>
        <v>0</v>
      </c>
      <c r="R550" s="304">
        <f t="shared" si="159"/>
        <v>-443</v>
      </c>
      <c r="S550" s="305" t="str">
        <f t="shared" si="166"/>
        <v/>
      </c>
      <c r="T550" s="305" t="str">
        <f t="shared" si="167"/>
        <v/>
      </c>
      <c r="U550" s="305" t="str">
        <f t="shared" si="168"/>
        <v/>
      </c>
      <c r="V550" s="305" t="str">
        <f t="shared" si="169"/>
        <v/>
      </c>
      <c r="W550" s="314" t="str">
        <f t="shared" si="170"/>
        <v/>
      </c>
      <c r="X550" s="314" t="str">
        <f t="shared" si="171"/>
        <v/>
      </c>
      <c r="Y550" s="326" t="str">
        <f t="shared" si="157"/>
        <v/>
      </c>
    </row>
    <row r="551" spans="7:25" x14ac:dyDescent="0.25">
      <c r="G551" s="303">
        <f t="shared" si="154"/>
        <v>0</v>
      </c>
      <c r="H551" s="304">
        <f t="shared" si="158"/>
        <v>544</v>
      </c>
      <c r="I551" s="305" t="str">
        <f t="shared" si="160"/>
        <v/>
      </c>
      <c r="J551" s="305" t="str">
        <f t="shared" si="161"/>
        <v/>
      </c>
      <c r="K551" s="305" t="str">
        <f t="shared" si="162"/>
        <v/>
      </c>
      <c r="L551" s="305" t="str">
        <f t="shared" si="163"/>
        <v/>
      </c>
      <c r="M551" s="314" t="str">
        <f t="shared" si="164"/>
        <v/>
      </c>
      <c r="N551" s="305" t="str">
        <f t="shared" si="165"/>
        <v/>
      </c>
      <c r="O551" s="327" t="e">
        <f t="shared" si="156"/>
        <v>#NUM!</v>
      </c>
      <c r="P551" s="305"/>
      <c r="Q551" s="303">
        <f t="shared" si="155"/>
        <v>0</v>
      </c>
      <c r="R551" s="304">
        <f t="shared" si="159"/>
        <v>-444</v>
      </c>
      <c r="S551" s="305" t="str">
        <f t="shared" si="166"/>
        <v/>
      </c>
      <c r="T551" s="305" t="str">
        <f t="shared" si="167"/>
        <v/>
      </c>
      <c r="U551" s="305" t="str">
        <f t="shared" si="168"/>
        <v/>
      </c>
      <c r="V551" s="305" t="str">
        <f t="shared" si="169"/>
        <v/>
      </c>
      <c r="W551" s="314" t="str">
        <f t="shared" si="170"/>
        <v/>
      </c>
      <c r="X551" s="314" t="str">
        <f t="shared" si="171"/>
        <v/>
      </c>
      <c r="Y551" s="326" t="str">
        <f t="shared" si="157"/>
        <v/>
      </c>
    </row>
    <row r="552" spans="7:25" x14ac:dyDescent="0.25">
      <c r="G552" s="303">
        <f t="shared" si="154"/>
        <v>0</v>
      </c>
      <c r="H552" s="304">
        <f t="shared" si="158"/>
        <v>545</v>
      </c>
      <c r="I552" s="305" t="str">
        <f t="shared" si="160"/>
        <v/>
      </c>
      <c r="J552" s="305" t="str">
        <f t="shared" si="161"/>
        <v/>
      </c>
      <c r="K552" s="305" t="str">
        <f t="shared" si="162"/>
        <v/>
      </c>
      <c r="L552" s="305" t="str">
        <f t="shared" si="163"/>
        <v/>
      </c>
      <c r="M552" s="314" t="str">
        <f t="shared" si="164"/>
        <v/>
      </c>
      <c r="N552" s="305" t="str">
        <f t="shared" si="165"/>
        <v/>
      </c>
      <c r="O552" s="327" t="e">
        <f t="shared" si="156"/>
        <v>#NUM!</v>
      </c>
      <c r="P552" s="305"/>
      <c r="Q552" s="303">
        <f t="shared" si="155"/>
        <v>0</v>
      </c>
      <c r="R552" s="304">
        <f t="shared" si="159"/>
        <v>-445</v>
      </c>
      <c r="S552" s="305" t="str">
        <f t="shared" si="166"/>
        <v/>
      </c>
      <c r="T552" s="305" t="str">
        <f t="shared" si="167"/>
        <v/>
      </c>
      <c r="U552" s="305" t="str">
        <f t="shared" si="168"/>
        <v/>
      </c>
      <c r="V552" s="305" t="str">
        <f t="shared" si="169"/>
        <v/>
      </c>
      <c r="W552" s="314" t="str">
        <f t="shared" si="170"/>
        <v/>
      </c>
      <c r="X552" s="314" t="str">
        <f t="shared" si="171"/>
        <v/>
      </c>
      <c r="Y552" s="326" t="str">
        <f t="shared" si="157"/>
        <v/>
      </c>
    </row>
    <row r="553" spans="7:25" x14ac:dyDescent="0.25">
      <c r="G553" s="303">
        <f t="shared" si="154"/>
        <v>0</v>
      </c>
      <c r="H553" s="304">
        <f t="shared" si="158"/>
        <v>546</v>
      </c>
      <c r="I553" s="305" t="str">
        <f t="shared" si="160"/>
        <v/>
      </c>
      <c r="J553" s="305" t="str">
        <f t="shared" si="161"/>
        <v/>
      </c>
      <c r="K553" s="305" t="str">
        <f t="shared" si="162"/>
        <v/>
      </c>
      <c r="L553" s="305" t="str">
        <f t="shared" si="163"/>
        <v/>
      </c>
      <c r="M553" s="314" t="str">
        <f t="shared" si="164"/>
        <v/>
      </c>
      <c r="N553" s="305" t="str">
        <f t="shared" si="165"/>
        <v/>
      </c>
      <c r="O553" s="327" t="e">
        <f t="shared" si="156"/>
        <v>#NUM!</v>
      </c>
      <c r="P553" s="305"/>
      <c r="Q553" s="303">
        <f t="shared" si="155"/>
        <v>0</v>
      </c>
      <c r="R553" s="304">
        <f t="shared" si="159"/>
        <v>-446</v>
      </c>
      <c r="S553" s="305" t="str">
        <f t="shared" si="166"/>
        <v/>
      </c>
      <c r="T553" s="305" t="str">
        <f t="shared" si="167"/>
        <v/>
      </c>
      <c r="U553" s="305" t="str">
        <f t="shared" si="168"/>
        <v/>
      </c>
      <c r="V553" s="305" t="str">
        <f t="shared" si="169"/>
        <v/>
      </c>
      <c r="W553" s="314" t="str">
        <f t="shared" si="170"/>
        <v/>
      </c>
      <c r="X553" s="314" t="str">
        <f t="shared" si="171"/>
        <v/>
      </c>
      <c r="Y553" s="326" t="str">
        <f t="shared" si="157"/>
        <v/>
      </c>
    </row>
    <row r="554" spans="7:25" x14ac:dyDescent="0.25">
      <c r="G554" s="303">
        <f t="shared" si="154"/>
        <v>0</v>
      </c>
      <c r="H554" s="304">
        <f t="shared" si="158"/>
        <v>547</v>
      </c>
      <c r="I554" s="305" t="str">
        <f t="shared" si="160"/>
        <v/>
      </c>
      <c r="J554" s="305" t="str">
        <f t="shared" si="161"/>
        <v/>
      </c>
      <c r="K554" s="305" t="str">
        <f t="shared" si="162"/>
        <v/>
      </c>
      <c r="L554" s="305" t="str">
        <f t="shared" si="163"/>
        <v/>
      </c>
      <c r="M554" s="314" t="str">
        <f t="shared" si="164"/>
        <v/>
      </c>
      <c r="N554" s="305" t="str">
        <f t="shared" si="165"/>
        <v/>
      </c>
      <c r="O554" s="327" t="e">
        <f t="shared" si="156"/>
        <v>#NUM!</v>
      </c>
      <c r="P554" s="305"/>
      <c r="Q554" s="303">
        <f t="shared" si="155"/>
        <v>0</v>
      </c>
      <c r="R554" s="304">
        <f t="shared" si="159"/>
        <v>-447</v>
      </c>
      <c r="S554" s="305" t="str">
        <f t="shared" si="166"/>
        <v/>
      </c>
      <c r="T554" s="305" t="str">
        <f t="shared" si="167"/>
        <v/>
      </c>
      <c r="U554" s="305" t="str">
        <f t="shared" si="168"/>
        <v/>
      </c>
      <c r="V554" s="305" t="str">
        <f t="shared" si="169"/>
        <v/>
      </c>
      <c r="W554" s="314" t="str">
        <f t="shared" si="170"/>
        <v/>
      </c>
      <c r="X554" s="314" t="str">
        <f t="shared" si="171"/>
        <v/>
      </c>
      <c r="Y554" s="326" t="str">
        <f t="shared" si="157"/>
        <v/>
      </c>
    </row>
    <row r="555" spans="7:25" x14ac:dyDescent="0.25">
      <c r="G555" s="303">
        <f t="shared" si="154"/>
        <v>0</v>
      </c>
      <c r="H555" s="304">
        <f t="shared" si="158"/>
        <v>548</v>
      </c>
      <c r="I555" s="305" t="str">
        <f t="shared" si="160"/>
        <v/>
      </c>
      <c r="J555" s="305" t="str">
        <f t="shared" si="161"/>
        <v/>
      </c>
      <c r="K555" s="305" t="str">
        <f t="shared" si="162"/>
        <v/>
      </c>
      <c r="L555" s="305" t="str">
        <f t="shared" si="163"/>
        <v/>
      </c>
      <c r="M555" s="314" t="str">
        <f t="shared" si="164"/>
        <v/>
      </c>
      <c r="N555" s="305" t="str">
        <f t="shared" si="165"/>
        <v/>
      </c>
      <c r="O555" s="327" t="e">
        <f t="shared" si="156"/>
        <v>#NUM!</v>
      </c>
      <c r="P555" s="305"/>
      <c r="Q555" s="303">
        <f t="shared" si="155"/>
        <v>0</v>
      </c>
      <c r="R555" s="304">
        <f t="shared" si="159"/>
        <v>-448</v>
      </c>
      <c r="S555" s="305" t="str">
        <f t="shared" si="166"/>
        <v/>
      </c>
      <c r="T555" s="305" t="str">
        <f t="shared" si="167"/>
        <v/>
      </c>
      <c r="U555" s="305" t="str">
        <f t="shared" si="168"/>
        <v/>
      </c>
      <c r="V555" s="305" t="str">
        <f t="shared" si="169"/>
        <v/>
      </c>
      <c r="W555" s="314" t="str">
        <f t="shared" si="170"/>
        <v/>
      </c>
      <c r="X555" s="314" t="str">
        <f t="shared" si="171"/>
        <v/>
      </c>
      <c r="Y555" s="326" t="str">
        <f t="shared" si="157"/>
        <v/>
      </c>
    </row>
    <row r="556" spans="7:25" x14ac:dyDescent="0.25">
      <c r="G556" s="303">
        <f t="shared" si="154"/>
        <v>0</v>
      </c>
      <c r="H556" s="304">
        <f t="shared" si="158"/>
        <v>549</v>
      </c>
      <c r="I556" s="305" t="str">
        <f t="shared" si="160"/>
        <v/>
      </c>
      <c r="J556" s="305" t="str">
        <f t="shared" si="161"/>
        <v/>
      </c>
      <c r="K556" s="305" t="str">
        <f t="shared" si="162"/>
        <v/>
      </c>
      <c r="L556" s="305" t="str">
        <f t="shared" si="163"/>
        <v/>
      </c>
      <c r="M556" s="314" t="str">
        <f t="shared" si="164"/>
        <v/>
      </c>
      <c r="N556" s="305" t="str">
        <f t="shared" si="165"/>
        <v/>
      </c>
      <c r="O556" s="327" t="e">
        <f t="shared" si="156"/>
        <v>#NUM!</v>
      </c>
      <c r="P556" s="305"/>
      <c r="Q556" s="303">
        <f t="shared" si="155"/>
        <v>0</v>
      </c>
      <c r="R556" s="304">
        <f t="shared" si="159"/>
        <v>-449</v>
      </c>
      <c r="S556" s="305" t="str">
        <f t="shared" si="166"/>
        <v/>
      </c>
      <c r="T556" s="305" t="str">
        <f t="shared" si="167"/>
        <v/>
      </c>
      <c r="U556" s="305" t="str">
        <f t="shared" si="168"/>
        <v/>
      </c>
      <c r="V556" s="305" t="str">
        <f t="shared" si="169"/>
        <v/>
      </c>
      <c r="W556" s="314" t="str">
        <f t="shared" si="170"/>
        <v/>
      </c>
      <c r="X556" s="314" t="str">
        <f t="shared" si="171"/>
        <v/>
      </c>
      <c r="Y556" s="326" t="str">
        <f t="shared" si="157"/>
        <v/>
      </c>
    </row>
    <row r="557" spans="7:25" x14ac:dyDescent="0.25">
      <c r="G557" s="303">
        <f t="shared" si="154"/>
        <v>0</v>
      </c>
      <c r="H557" s="304">
        <f t="shared" si="158"/>
        <v>550</v>
      </c>
      <c r="I557" s="305" t="str">
        <f t="shared" si="160"/>
        <v/>
      </c>
      <c r="J557" s="305" t="str">
        <f t="shared" si="161"/>
        <v/>
      </c>
      <c r="K557" s="305" t="str">
        <f t="shared" si="162"/>
        <v/>
      </c>
      <c r="L557" s="305" t="str">
        <f t="shared" si="163"/>
        <v/>
      </c>
      <c r="M557" s="314" t="str">
        <f t="shared" si="164"/>
        <v/>
      </c>
      <c r="N557" s="305" t="str">
        <f t="shared" si="165"/>
        <v/>
      </c>
      <c r="O557" s="327" t="e">
        <f t="shared" si="156"/>
        <v>#NUM!</v>
      </c>
      <c r="P557" s="305"/>
      <c r="Q557" s="303">
        <f t="shared" si="155"/>
        <v>0</v>
      </c>
      <c r="R557" s="304">
        <f t="shared" si="159"/>
        <v>-450</v>
      </c>
      <c r="S557" s="305" t="str">
        <f t="shared" si="166"/>
        <v/>
      </c>
      <c r="T557" s="305" t="str">
        <f t="shared" si="167"/>
        <v/>
      </c>
      <c r="U557" s="305" t="str">
        <f t="shared" si="168"/>
        <v/>
      </c>
      <c r="V557" s="305" t="str">
        <f t="shared" si="169"/>
        <v/>
      </c>
      <c r="W557" s="314" t="str">
        <f t="shared" si="170"/>
        <v/>
      </c>
      <c r="X557" s="314" t="str">
        <f t="shared" si="171"/>
        <v/>
      </c>
      <c r="Y557" s="326" t="str">
        <f t="shared" si="157"/>
        <v/>
      </c>
    </row>
    <row r="558" spans="7:25" x14ac:dyDescent="0.25">
      <c r="G558" s="303">
        <f t="shared" si="154"/>
        <v>0</v>
      </c>
      <c r="H558" s="304">
        <f t="shared" si="158"/>
        <v>551</v>
      </c>
      <c r="I558" s="305" t="str">
        <f t="shared" si="160"/>
        <v/>
      </c>
      <c r="J558" s="305" t="str">
        <f t="shared" si="161"/>
        <v/>
      </c>
      <c r="K558" s="305" t="str">
        <f t="shared" si="162"/>
        <v/>
      </c>
      <c r="L558" s="305" t="str">
        <f t="shared" si="163"/>
        <v/>
      </c>
      <c r="M558" s="314" t="str">
        <f t="shared" si="164"/>
        <v/>
      </c>
      <c r="N558" s="305" t="str">
        <f t="shared" si="165"/>
        <v/>
      </c>
      <c r="O558" s="327" t="e">
        <f t="shared" si="156"/>
        <v>#NUM!</v>
      </c>
      <c r="P558" s="305"/>
      <c r="Q558" s="303">
        <f t="shared" si="155"/>
        <v>0</v>
      </c>
      <c r="R558" s="304">
        <f t="shared" si="159"/>
        <v>-451</v>
      </c>
      <c r="S558" s="305" t="str">
        <f t="shared" si="166"/>
        <v/>
      </c>
      <c r="T558" s="305" t="str">
        <f t="shared" si="167"/>
        <v/>
      </c>
      <c r="U558" s="305" t="str">
        <f t="shared" si="168"/>
        <v/>
      </c>
      <c r="V558" s="305" t="str">
        <f t="shared" si="169"/>
        <v/>
      </c>
      <c r="W558" s="314" t="str">
        <f t="shared" si="170"/>
        <v/>
      </c>
      <c r="X558" s="314" t="str">
        <f t="shared" si="171"/>
        <v/>
      </c>
      <c r="Y558" s="326" t="str">
        <f t="shared" si="157"/>
        <v/>
      </c>
    </row>
    <row r="559" spans="7:25" x14ac:dyDescent="0.25">
      <c r="G559" s="303">
        <f t="shared" si="154"/>
        <v>0</v>
      </c>
      <c r="H559" s="304">
        <f t="shared" si="158"/>
        <v>552</v>
      </c>
      <c r="I559" s="305" t="str">
        <f t="shared" si="160"/>
        <v/>
      </c>
      <c r="J559" s="305" t="str">
        <f t="shared" si="161"/>
        <v/>
      </c>
      <c r="K559" s="305" t="str">
        <f t="shared" si="162"/>
        <v/>
      </c>
      <c r="L559" s="305" t="str">
        <f t="shared" si="163"/>
        <v/>
      </c>
      <c r="M559" s="314" t="str">
        <f t="shared" si="164"/>
        <v/>
      </c>
      <c r="N559" s="305" t="str">
        <f t="shared" si="165"/>
        <v/>
      </c>
      <c r="O559" s="327" t="e">
        <f t="shared" si="156"/>
        <v>#NUM!</v>
      </c>
      <c r="P559" s="305"/>
      <c r="Q559" s="303">
        <f t="shared" si="155"/>
        <v>0</v>
      </c>
      <c r="R559" s="304">
        <f t="shared" si="159"/>
        <v>-452</v>
      </c>
      <c r="S559" s="305" t="str">
        <f t="shared" si="166"/>
        <v/>
      </c>
      <c r="T559" s="305" t="str">
        <f t="shared" si="167"/>
        <v/>
      </c>
      <c r="U559" s="305" t="str">
        <f t="shared" si="168"/>
        <v/>
      </c>
      <c r="V559" s="305" t="str">
        <f t="shared" si="169"/>
        <v/>
      </c>
      <c r="W559" s="314" t="str">
        <f t="shared" si="170"/>
        <v/>
      </c>
      <c r="X559" s="314" t="str">
        <f t="shared" si="171"/>
        <v/>
      </c>
      <c r="Y559" s="326" t="str">
        <f t="shared" si="157"/>
        <v/>
      </c>
    </row>
    <row r="560" spans="7:25" x14ac:dyDescent="0.25">
      <c r="G560" s="303">
        <f t="shared" si="154"/>
        <v>0</v>
      </c>
      <c r="H560" s="304">
        <f t="shared" si="158"/>
        <v>553</v>
      </c>
      <c r="I560" s="305" t="str">
        <f t="shared" si="160"/>
        <v/>
      </c>
      <c r="J560" s="305" t="str">
        <f t="shared" si="161"/>
        <v/>
      </c>
      <c r="K560" s="305" t="str">
        <f t="shared" si="162"/>
        <v/>
      </c>
      <c r="L560" s="305" t="str">
        <f t="shared" si="163"/>
        <v/>
      </c>
      <c r="M560" s="314" t="str">
        <f t="shared" si="164"/>
        <v/>
      </c>
      <c r="N560" s="305" t="str">
        <f t="shared" si="165"/>
        <v/>
      </c>
      <c r="O560" s="327" t="e">
        <f t="shared" si="156"/>
        <v>#NUM!</v>
      </c>
      <c r="P560" s="305"/>
      <c r="Q560" s="303">
        <f t="shared" si="155"/>
        <v>0</v>
      </c>
      <c r="R560" s="304">
        <f t="shared" si="159"/>
        <v>-453</v>
      </c>
      <c r="S560" s="305" t="str">
        <f t="shared" si="166"/>
        <v/>
      </c>
      <c r="T560" s="305" t="str">
        <f t="shared" si="167"/>
        <v/>
      </c>
      <c r="U560" s="305" t="str">
        <f t="shared" si="168"/>
        <v/>
      </c>
      <c r="V560" s="305" t="str">
        <f t="shared" si="169"/>
        <v/>
      </c>
      <c r="W560" s="314" t="str">
        <f t="shared" si="170"/>
        <v/>
      </c>
      <c r="X560" s="314" t="str">
        <f t="shared" si="171"/>
        <v/>
      </c>
      <c r="Y560" s="326" t="str">
        <f t="shared" si="157"/>
        <v/>
      </c>
    </row>
    <row r="561" spans="7:25" x14ac:dyDescent="0.25">
      <c r="G561" s="303">
        <f t="shared" si="154"/>
        <v>0</v>
      </c>
      <c r="H561" s="304">
        <f t="shared" si="158"/>
        <v>554</v>
      </c>
      <c r="I561" s="305" t="str">
        <f t="shared" si="160"/>
        <v/>
      </c>
      <c r="J561" s="305" t="str">
        <f t="shared" si="161"/>
        <v/>
      </c>
      <c r="K561" s="305" t="str">
        <f t="shared" si="162"/>
        <v/>
      </c>
      <c r="L561" s="305" t="str">
        <f t="shared" si="163"/>
        <v/>
      </c>
      <c r="M561" s="314" t="str">
        <f t="shared" si="164"/>
        <v/>
      </c>
      <c r="N561" s="305" t="str">
        <f t="shared" si="165"/>
        <v/>
      </c>
      <c r="O561" s="327" t="e">
        <f t="shared" si="156"/>
        <v>#NUM!</v>
      </c>
      <c r="P561" s="305"/>
      <c r="Q561" s="303">
        <f t="shared" si="155"/>
        <v>0</v>
      </c>
      <c r="R561" s="304">
        <f t="shared" si="159"/>
        <v>-454</v>
      </c>
      <c r="S561" s="305" t="str">
        <f t="shared" si="166"/>
        <v/>
      </c>
      <c r="T561" s="305" t="str">
        <f t="shared" si="167"/>
        <v/>
      </c>
      <c r="U561" s="305" t="str">
        <f t="shared" si="168"/>
        <v/>
      </c>
      <c r="V561" s="305" t="str">
        <f t="shared" si="169"/>
        <v/>
      </c>
      <c r="W561" s="314" t="str">
        <f t="shared" si="170"/>
        <v/>
      </c>
      <c r="X561" s="314" t="str">
        <f t="shared" si="171"/>
        <v/>
      </c>
      <c r="Y561" s="326" t="str">
        <f t="shared" si="157"/>
        <v/>
      </c>
    </row>
    <row r="562" spans="7:25" x14ac:dyDescent="0.25">
      <c r="G562" s="303">
        <f t="shared" si="154"/>
        <v>0</v>
      </c>
      <c r="H562" s="304">
        <f t="shared" si="158"/>
        <v>555</v>
      </c>
      <c r="I562" s="305" t="str">
        <f t="shared" si="160"/>
        <v/>
      </c>
      <c r="J562" s="305" t="str">
        <f t="shared" si="161"/>
        <v/>
      </c>
      <c r="K562" s="305" t="str">
        <f t="shared" si="162"/>
        <v/>
      </c>
      <c r="L562" s="305" t="str">
        <f t="shared" si="163"/>
        <v/>
      </c>
      <c r="M562" s="314" t="str">
        <f t="shared" si="164"/>
        <v/>
      </c>
      <c r="N562" s="305" t="str">
        <f t="shared" si="165"/>
        <v/>
      </c>
      <c r="O562" s="327" t="e">
        <f t="shared" si="156"/>
        <v>#NUM!</v>
      </c>
      <c r="P562" s="305"/>
      <c r="Q562" s="303">
        <f t="shared" si="155"/>
        <v>0</v>
      </c>
      <c r="R562" s="304">
        <f t="shared" si="159"/>
        <v>-455</v>
      </c>
      <c r="S562" s="305" t="str">
        <f t="shared" si="166"/>
        <v/>
      </c>
      <c r="T562" s="305" t="str">
        <f t="shared" si="167"/>
        <v/>
      </c>
      <c r="U562" s="305" t="str">
        <f t="shared" si="168"/>
        <v/>
      </c>
      <c r="V562" s="305" t="str">
        <f t="shared" si="169"/>
        <v/>
      </c>
      <c r="W562" s="314" t="str">
        <f t="shared" si="170"/>
        <v/>
      </c>
      <c r="X562" s="314" t="str">
        <f t="shared" si="171"/>
        <v/>
      </c>
      <c r="Y562" s="326" t="str">
        <f t="shared" si="157"/>
        <v/>
      </c>
    </row>
    <row r="563" spans="7:25" x14ac:dyDescent="0.25">
      <c r="G563" s="303">
        <f t="shared" si="154"/>
        <v>0</v>
      </c>
      <c r="H563" s="304">
        <f t="shared" si="158"/>
        <v>556</v>
      </c>
      <c r="I563" s="305" t="str">
        <f t="shared" si="160"/>
        <v/>
      </c>
      <c r="J563" s="305" t="str">
        <f t="shared" si="161"/>
        <v/>
      </c>
      <c r="K563" s="305" t="str">
        <f t="shared" si="162"/>
        <v/>
      </c>
      <c r="L563" s="305" t="str">
        <f t="shared" si="163"/>
        <v/>
      </c>
      <c r="M563" s="314" t="str">
        <f t="shared" si="164"/>
        <v/>
      </c>
      <c r="N563" s="305" t="str">
        <f t="shared" si="165"/>
        <v/>
      </c>
      <c r="O563" s="327" t="e">
        <f t="shared" si="156"/>
        <v>#NUM!</v>
      </c>
      <c r="P563" s="305"/>
      <c r="Q563" s="303">
        <f t="shared" si="155"/>
        <v>0</v>
      </c>
      <c r="R563" s="304">
        <f t="shared" si="159"/>
        <v>-456</v>
      </c>
      <c r="S563" s="305" t="str">
        <f t="shared" si="166"/>
        <v/>
      </c>
      <c r="T563" s="305" t="str">
        <f t="shared" si="167"/>
        <v/>
      </c>
      <c r="U563" s="305" t="str">
        <f t="shared" si="168"/>
        <v/>
      </c>
      <c r="V563" s="305" t="str">
        <f t="shared" si="169"/>
        <v/>
      </c>
      <c r="W563" s="314" t="str">
        <f t="shared" si="170"/>
        <v/>
      </c>
      <c r="X563" s="314" t="str">
        <f t="shared" si="171"/>
        <v/>
      </c>
      <c r="Y563" s="326" t="str">
        <f t="shared" si="157"/>
        <v/>
      </c>
    </row>
    <row r="564" spans="7:25" x14ac:dyDescent="0.25">
      <c r="G564" s="303">
        <f t="shared" si="154"/>
        <v>0</v>
      </c>
      <c r="H564" s="304">
        <f t="shared" si="158"/>
        <v>557</v>
      </c>
      <c r="I564" s="305" t="str">
        <f t="shared" si="160"/>
        <v/>
      </c>
      <c r="J564" s="305" t="str">
        <f t="shared" si="161"/>
        <v/>
      </c>
      <c r="K564" s="305" t="str">
        <f t="shared" si="162"/>
        <v/>
      </c>
      <c r="L564" s="305" t="str">
        <f t="shared" si="163"/>
        <v/>
      </c>
      <c r="M564" s="314" t="str">
        <f t="shared" si="164"/>
        <v/>
      </c>
      <c r="N564" s="305" t="str">
        <f t="shared" si="165"/>
        <v/>
      </c>
      <c r="O564" s="327" t="e">
        <f t="shared" si="156"/>
        <v>#NUM!</v>
      </c>
      <c r="P564" s="305"/>
      <c r="Q564" s="303">
        <f t="shared" si="155"/>
        <v>0</v>
      </c>
      <c r="R564" s="304">
        <f t="shared" si="159"/>
        <v>-457</v>
      </c>
      <c r="S564" s="305" t="str">
        <f t="shared" si="166"/>
        <v/>
      </c>
      <c r="T564" s="305" t="str">
        <f t="shared" si="167"/>
        <v/>
      </c>
      <c r="U564" s="305" t="str">
        <f t="shared" si="168"/>
        <v/>
      </c>
      <c r="V564" s="305" t="str">
        <f t="shared" si="169"/>
        <v/>
      </c>
      <c r="W564" s="314" t="str">
        <f t="shared" si="170"/>
        <v/>
      </c>
      <c r="X564" s="314" t="str">
        <f t="shared" si="171"/>
        <v/>
      </c>
      <c r="Y564" s="326" t="str">
        <f t="shared" si="157"/>
        <v/>
      </c>
    </row>
    <row r="565" spans="7:25" x14ac:dyDescent="0.25">
      <c r="G565" s="303">
        <f t="shared" si="154"/>
        <v>0</v>
      </c>
      <c r="H565" s="304">
        <f t="shared" si="158"/>
        <v>558</v>
      </c>
      <c r="I565" s="305" t="str">
        <f t="shared" si="160"/>
        <v/>
      </c>
      <c r="J565" s="305" t="str">
        <f t="shared" si="161"/>
        <v/>
      </c>
      <c r="K565" s="305" t="str">
        <f t="shared" si="162"/>
        <v/>
      </c>
      <c r="L565" s="305" t="str">
        <f t="shared" si="163"/>
        <v/>
      </c>
      <c r="M565" s="314" t="str">
        <f t="shared" si="164"/>
        <v/>
      </c>
      <c r="N565" s="305" t="str">
        <f t="shared" si="165"/>
        <v/>
      </c>
      <c r="O565" s="327" t="e">
        <f t="shared" si="156"/>
        <v>#NUM!</v>
      </c>
      <c r="P565" s="305"/>
      <c r="Q565" s="303">
        <f t="shared" si="155"/>
        <v>0</v>
      </c>
      <c r="R565" s="304">
        <f t="shared" si="159"/>
        <v>-458</v>
      </c>
      <c r="S565" s="305" t="str">
        <f t="shared" si="166"/>
        <v/>
      </c>
      <c r="T565" s="305" t="str">
        <f t="shared" si="167"/>
        <v/>
      </c>
      <c r="U565" s="305" t="str">
        <f t="shared" si="168"/>
        <v/>
      </c>
      <c r="V565" s="305" t="str">
        <f t="shared" si="169"/>
        <v/>
      </c>
      <c r="W565" s="314" t="str">
        <f t="shared" si="170"/>
        <v/>
      </c>
      <c r="X565" s="314" t="str">
        <f t="shared" si="171"/>
        <v/>
      </c>
      <c r="Y565" s="326" t="str">
        <f t="shared" si="157"/>
        <v/>
      </c>
    </row>
    <row r="566" spans="7:25" x14ac:dyDescent="0.25">
      <c r="G566" s="303">
        <f t="shared" si="154"/>
        <v>0</v>
      </c>
      <c r="H566" s="304">
        <f t="shared" si="158"/>
        <v>559</v>
      </c>
      <c r="I566" s="305" t="str">
        <f t="shared" si="160"/>
        <v/>
      </c>
      <c r="J566" s="305" t="str">
        <f t="shared" si="161"/>
        <v/>
      </c>
      <c r="K566" s="305" t="str">
        <f t="shared" si="162"/>
        <v/>
      </c>
      <c r="L566" s="305" t="str">
        <f t="shared" si="163"/>
        <v/>
      </c>
      <c r="M566" s="314" t="str">
        <f t="shared" si="164"/>
        <v/>
      </c>
      <c r="N566" s="305" t="str">
        <f t="shared" si="165"/>
        <v/>
      </c>
      <c r="O566" s="327" t="e">
        <f t="shared" si="156"/>
        <v>#NUM!</v>
      </c>
      <c r="P566" s="305"/>
      <c r="Q566" s="303">
        <f t="shared" si="155"/>
        <v>0</v>
      </c>
      <c r="R566" s="304">
        <f t="shared" si="159"/>
        <v>-459</v>
      </c>
      <c r="S566" s="305" t="str">
        <f t="shared" si="166"/>
        <v/>
      </c>
      <c r="T566" s="305" t="str">
        <f t="shared" si="167"/>
        <v/>
      </c>
      <c r="U566" s="305" t="str">
        <f t="shared" si="168"/>
        <v/>
      </c>
      <c r="V566" s="305" t="str">
        <f t="shared" si="169"/>
        <v/>
      </c>
      <c r="W566" s="314" t="str">
        <f t="shared" si="170"/>
        <v/>
      </c>
      <c r="X566" s="314" t="str">
        <f t="shared" si="171"/>
        <v/>
      </c>
      <c r="Y566" s="326" t="str">
        <f t="shared" si="157"/>
        <v/>
      </c>
    </row>
    <row r="567" spans="7:25" x14ac:dyDescent="0.25">
      <c r="G567" s="303">
        <f t="shared" si="154"/>
        <v>0</v>
      </c>
      <c r="H567" s="304">
        <f t="shared" si="158"/>
        <v>560</v>
      </c>
      <c r="I567" s="305" t="str">
        <f t="shared" si="160"/>
        <v/>
      </c>
      <c r="J567" s="305" t="str">
        <f t="shared" si="161"/>
        <v/>
      </c>
      <c r="K567" s="305" t="str">
        <f t="shared" si="162"/>
        <v/>
      </c>
      <c r="L567" s="305" t="str">
        <f t="shared" si="163"/>
        <v/>
      </c>
      <c r="M567" s="314" t="str">
        <f t="shared" si="164"/>
        <v/>
      </c>
      <c r="N567" s="305" t="str">
        <f t="shared" si="165"/>
        <v/>
      </c>
      <c r="O567" s="327" t="e">
        <f t="shared" si="156"/>
        <v>#NUM!</v>
      </c>
      <c r="P567" s="305"/>
      <c r="Q567" s="303">
        <f t="shared" si="155"/>
        <v>0</v>
      </c>
      <c r="R567" s="304">
        <f t="shared" si="159"/>
        <v>-460</v>
      </c>
      <c r="S567" s="305" t="str">
        <f t="shared" si="166"/>
        <v/>
      </c>
      <c r="T567" s="305" t="str">
        <f t="shared" si="167"/>
        <v/>
      </c>
      <c r="U567" s="305" t="str">
        <f t="shared" si="168"/>
        <v/>
      </c>
      <c r="V567" s="305" t="str">
        <f t="shared" si="169"/>
        <v/>
      </c>
      <c r="W567" s="314" t="str">
        <f t="shared" si="170"/>
        <v/>
      </c>
      <c r="X567" s="314" t="str">
        <f t="shared" si="171"/>
        <v/>
      </c>
      <c r="Y567" s="326" t="str">
        <f t="shared" si="157"/>
        <v/>
      </c>
    </row>
    <row r="568" spans="7:25" x14ac:dyDescent="0.25">
      <c r="G568" s="303">
        <f t="shared" si="154"/>
        <v>0</v>
      </c>
      <c r="H568" s="304">
        <f t="shared" si="158"/>
        <v>561</v>
      </c>
      <c r="I568" s="305" t="str">
        <f t="shared" si="160"/>
        <v/>
      </c>
      <c r="J568" s="305" t="str">
        <f t="shared" si="161"/>
        <v/>
      </c>
      <c r="K568" s="305" t="str">
        <f t="shared" si="162"/>
        <v/>
      </c>
      <c r="L568" s="305" t="str">
        <f t="shared" si="163"/>
        <v/>
      </c>
      <c r="M568" s="314" t="str">
        <f t="shared" si="164"/>
        <v/>
      </c>
      <c r="N568" s="305" t="str">
        <f t="shared" si="165"/>
        <v/>
      </c>
      <c r="O568" s="327" t="e">
        <f t="shared" si="156"/>
        <v>#NUM!</v>
      </c>
      <c r="P568" s="305"/>
      <c r="Q568" s="303">
        <f t="shared" si="155"/>
        <v>0</v>
      </c>
      <c r="R568" s="304">
        <f t="shared" si="159"/>
        <v>-461</v>
      </c>
      <c r="S568" s="305" t="str">
        <f t="shared" si="166"/>
        <v/>
      </c>
      <c r="T568" s="305" t="str">
        <f t="shared" si="167"/>
        <v/>
      </c>
      <c r="U568" s="305" t="str">
        <f t="shared" si="168"/>
        <v/>
      </c>
      <c r="V568" s="305" t="str">
        <f t="shared" si="169"/>
        <v/>
      </c>
      <c r="W568" s="314" t="str">
        <f t="shared" si="170"/>
        <v/>
      </c>
      <c r="X568" s="314" t="str">
        <f t="shared" si="171"/>
        <v/>
      </c>
      <c r="Y568" s="326" t="str">
        <f t="shared" si="157"/>
        <v/>
      </c>
    </row>
    <row r="569" spans="7:25" x14ac:dyDescent="0.25">
      <c r="G569" s="303">
        <f t="shared" si="154"/>
        <v>0</v>
      </c>
      <c r="H569" s="304">
        <f t="shared" si="158"/>
        <v>562</v>
      </c>
      <c r="I569" s="305" t="str">
        <f t="shared" si="160"/>
        <v/>
      </c>
      <c r="J569" s="305" t="str">
        <f t="shared" si="161"/>
        <v/>
      </c>
      <c r="K569" s="305" t="str">
        <f t="shared" si="162"/>
        <v/>
      </c>
      <c r="L569" s="305" t="str">
        <f t="shared" si="163"/>
        <v/>
      </c>
      <c r="M569" s="314" t="str">
        <f t="shared" si="164"/>
        <v/>
      </c>
      <c r="N569" s="305" t="str">
        <f t="shared" si="165"/>
        <v/>
      </c>
      <c r="O569" s="327" t="e">
        <f t="shared" si="156"/>
        <v>#NUM!</v>
      </c>
      <c r="P569" s="305"/>
      <c r="Q569" s="303">
        <f t="shared" si="155"/>
        <v>0</v>
      </c>
      <c r="R569" s="304">
        <f t="shared" si="159"/>
        <v>-462</v>
      </c>
      <c r="S569" s="305" t="str">
        <f t="shared" si="166"/>
        <v/>
      </c>
      <c r="T569" s="305" t="str">
        <f t="shared" si="167"/>
        <v/>
      </c>
      <c r="U569" s="305" t="str">
        <f t="shared" si="168"/>
        <v/>
      </c>
      <c r="V569" s="305" t="str">
        <f t="shared" si="169"/>
        <v/>
      </c>
      <c r="W569" s="314" t="str">
        <f t="shared" si="170"/>
        <v/>
      </c>
      <c r="X569" s="314" t="str">
        <f t="shared" si="171"/>
        <v/>
      </c>
      <c r="Y569" s="326" t="str">
        <f t="shared" si="157"/>
        <v/>
      </c>
    </row>
    <row r="570" spans="7:25" x14ac:dyDescent="0.25">
      <c r="G570" s="303">
        <f t="shared" si="154"/>
        <v>0</v>
      </c>
      <c r="H570" s="304">
        <f t="shared" si="158"/>
        <v>563</v>
      </c>
      <c r="I570" s="305" t="str">
        <f t="shared" si="160"/>
        <v/>
      </c>
      <c r="J570" s="305" t="str">
        <f t="shared" si="161"/>
        <v/>
      </c>
      <c r="K570" s="305" t="str">
        <f t="shared" si="162"/>
        <v/>
      </c>
      <c r="L570" s="305" t="str">
        <f t="shared" si="163"/>
        <v/>
      </c>
      <c r="M570" s="314" t="str">
        <f t="shared" si="164"/>
        <v/>
      </c>
      <c r="N570" s="305" t="str">
        <f t="shared" si="165"/>
        <v/>
      </c>
      <c r="O570" s="327" t="e">
        <f t="shared" si="156"/>
        <v>#NUM!</v>
      </c>
      <c r="P570" s="305"/>
      <c r="Q570" s="303">
        <f t="shared" si="155"/>
        <v>0</v>
      </c>
      <c r="R570" s="304">
        <f t="shared" si="159"/>
        <v>-463</v>
      </c>
      <c r="S570" s="305" t="str">
        <f t="shared" si="166"/>
        <v/>
      </c>
      <c r="T570" s="305" t="str">
        <f t="shared" si="167"/>
        <v/>
      </c>
      <c r="U570" s="305" t="str">
        <f t="shared" si="168"/>
        <v/>
      </c>
      <c r="V570" s="305" t="str">
        <f t="shared" si="169"/>
        <v/>
      </c>
      <c r="W570" s="314" t="str">
        <f t="shared" si="170"/>
        <v/>
      </c>
      <c r="X570" s="314" t="str">
        <f t="shared" si="171"/>
        <v/>
      </c>
      <c r="Y570" s="326" t="str">
        <f t="shared" si="157"/>
        <v/>
      </c>
    </row>
    <row r="571" spans="7:25" x14ac:dyDescent="0.25">
      <c r="G571" s="303">
        <f t="shared" si="154"/>
        <v>0</v>
      </c>
      <c r="H571" s="304">
        <f t="shared" si="158"/>
        <v>564</v>
      </c>
      <c r="I571" s="305" t="str">
        <f t="shared" si="160"/>
        <v/>
      </c>
      <c r="J571" s="305" t="str">
        <f t="shared" si="161"/>
        <v/>
      </c>
      <c r="K571" s="305" t="str">
        <f t="shared" si="162"/>
        <v/>
      </c>
      <c r="L571" s="305" t="str">
        <f t="shared" si="163"/>
        <v/>
      </c>
      <c r="M571" s="314" t="str">
        <f t="shared" si="164"/>
        <v/>
      </c>
      <c r="N571" s="305" t="str">
        <f t="shared" si="165"/>
        <v/>
      </c>
      <c r="O571" s="327" t="e">
        <f t="shared" si="156"/>
        <v>#NUM!</v>
      </c>
      <c r="P571" s="305"/>
      <c r="Q571" s="303">
        <f t="shared" si="155"/>
        <v>0</v>
      </c>
      <c r="R571" s="304">
        <f t="shared" si="159"/>
        <v>-464</v>
      </c>
      <c r="S571" s="305" t="str">
        <f t="shared" si="166"/>
        <v/>
      </c>
      <c r="T571" s="305" t="str">
        <f t="shared" si="167"/>
        <v/>
      </c>
      <c r="U571" s="305" t="str">
        <f t="shared" si="168"/>
        <v/>
      </c>
      <c r="V571" s="305" t="str">
        <f t="shared" si="169"/>
        <v/>
      </c>
      <c r="W571" s="314" t="str">
        <f t="shared" si="170"/>
        <v/>
      </c>
      <c r="X571" s="314" t="str">
        <f t="shared" si="171"/>
        <v/>
      </c>
      <c r="Y571" s="326" t="str">
        <f t="shared" si="157"/>
        <v/>
      </c>
    </row>
    <row r="572" spans="7:25" x14ac:dyDescent="0.25">
      <c r="G572" s="303">
        <f t="shared" si="154"/>
        <v>0</v>
      </c>
      <c r="H572" s="304">
        <f t="shared" si="158"/>
        <v>565</v>
      </c>
      <c r="I572" s="305" t="str">
        <f t="shared" si="160"/>
        <v/>
      </c>
      <c r="J572" s="305" t="str">
        <f t="shared" si="161"/>
        <v/>
      </c>
      <c r="K572" s="305" t="str">
        <f t="shared" si="162"/>
        <v/>
      </c>
      <c r="L572" s="305" t="str">
        <f t="shared" si="163"/>
        <v/>
      </c>
      <c r="M572" s="314" t="str">
        <f t="shared" si="164"/>
        <v/>
      </c>
      <c r="N572" s="305" t="str">
        <f t="shared" si="165"/>
        <v/>
      </c>
      <c r="O572" s="327" t="e">
        <f t="shared" si="156"/>
        <v>#NUM!</v>
      </c>
      <c r="P572" s="305"/>
      <c r="Q572" s="303">
        <f t="shared" si="155"/>
        <v>0</v>
      </c>
      <c r="R572" s="304">
        <f t="shared" si="159"/>
        <v>-465</v>
      </c>
      <c r="S572" s="305" t="str">
        <f t="shared" si="166"/>
        <v/>
      </c>
      <c r="T572" s="305" t="str">
        <f t="shared" si="167"/>
        <v/>
      </c>
      <c r="U572" s="305" t="str">
        <f t="shared" si="168"/>
        <v/>
      </c>
      <c r="V572" s="305" t="str">
        <f t="shared" si="169"/>
        <v/>
      </c>
      <c r="W572" s="314" t="str">
        <f t="shared" si="170"/>
        <v/>
      </c>
      <c r="X572" s="314" t="str">
        <f t="shared" si="171"/>
        <v/>
      </c>
      <c r="Y572" s="326" t="str">
        <f t="shared" si="157"/>
        <v/>
      </c>
    </row>
    <row r="573" spans="7:25" x14ac:dyDescent="0.25">
      <c r="G573" s="303">
        <f t="shared" si="154"/>
        <v>0</v>
      </c>
      <c r="H573" s="304">
        <f t="shared" si="158"/>
        <v>566</v>
      </c>
      <c r="I573" s="305" t="str">
        <f t="shared" si="160"/>
        <v/>
      </c>
      <c r="J573" s="305" t="str">
        <f t="shared" si="161"/>
        <v/>
      </c>
      <c r="K573" s="305" t="str">
        <f t="shared" si="162"/>
        <v/>
      </c>
      <c r="L573" s="305" t="str">
        <f t="shared" si="163"/>
        <v/>
      </c>
      <c r="M573" s="314" t="str">
        <f t="shared" si="164"/>
        <v/>
      </c>
      <c r="N573" s="305" t="str">
        <f t="shared" si="165"/>
        <v/>
      </c>
      <c r="O573" s="327" t="e">
        <f t="shared" si="156"/>
        <v>#NUM!</v>
      </c>
      <c r="P573" s="305"/>
      <c r="Q573" s="303">
        <f t="shared" si="155"/>
        <v>0</v>
      </c>
      <c r="R573" s="304">
        <f t="shared" si="159"/>
        <v>-466</v>
      </c>
      <c r="S573" s="305" t="str">
        <f t="shared" si="166"/>
        <v/>
      </c>
      <c r="T573" s="305" t="str">
        <f t="shared" si="167"/>
        <v/>
      </c>
      <c r="U573" s="305" t="str">
        <f t="shared" si="168"/>
        <v/>
      </c>
      <c r="V573" s="305" t="str">
        <f t="shared" si="169"/>
        <v/>
      </c>
      <c r="W573" s="314" t="str">
        <f t="shared" si="170"/>
        <v/>
      </c>
      <c r="X573" s="314" t="str">
        <f t="shared" si="171"/>
        <v/>
      </c>
      <c r="Y573" s="326" t="str">
        <f t="shared" si="157"/>
        <v/>
      </c>
    </row>
    <row r="574" spans="7:25" x14ac:dyDescent="0.25">
      <c r="G574" s="303">
        <f t="shared" si="154"/>
        <v>0</v>
      </c>
      <c r="H574" s="304">
        <f t="shared" si="158"/>
        <v>567</v>
      </c>
      <c r="I574" s="305" t="str">
        <f t="shared" si="160"/>
        <v/>
      </c>
      <c r="J574" s="305" t="str">
        <f t="shared" si="161"/>
        <v/>
      </c>
      <c r="K574" s="305" t="str">
        <f t="shared" si="162"/>
        <v/>
      </c>
      <c r="L574" s="305" t="str">
        <f t="shared" si="163"/>
        <v/>
      </c>
      <c r="M574" s="314" t="str">
        <f t="shared" si="164"/>
        <v/>
      </c>
      <c r="N574" s="305" t="str">
        <f t="shared" si="165"/>
        <v/>
      </c>
      <c r="O574" s="327" t="e">
        <f t="shared" si="156"/>
        <v>#NUM!</v>
      </c>
      <c r="P574" s="305"/>
      <c r="Q574" s="303">
        <f t="shared" si="155"/>
        <v>0</v>
      </c>
      <c r="R574" s="304">
        <f t="shared" si="159"/>
        <v>-467</v>
      </c>
      <c r="S574" s="305" t="str">
        <f t="shared" si="166"/>
        <v/>
      </c>
      <c r="T574" s="305" t="str">
        <f t="shared" si="167"/>
        <v/>
      </c>
      <c r="U574" s="305" t="str">
        <f t="shared" si="168"/>
        <v/>
      </c>
      <c r="V574" s="305" t="str">
        <f t="shared" si="169"/>
        <v/>
      </c>
      <c r="W574" s="314" t="str">
        <f t="shared" si="170"/>
        <v/>
      </c>
      <c r="X574" s="314" t="str">
        <f t="shared" si="171"/>
        <v/>
      </c>
      <c r="Y574" s="326" t="str">
        <f t="shared" si="157"/>
        <v/>
      </c>
    </row>
    <row r="575" spans="7:25" x14ac:dyDescent="0.25">
      <c r="G575" s="303">
        <f t="shared" si="154"/>
        <v>0</v>
      </c>
      <c r="H575" s="304">
        <f t="shared" si="158"/>
        <v>568</v>
      </c>
      <c r="I575" s="305" t="str">
        <f t="shared" si="160"/>
        <v/>
      </c>
      <c r="J575" s="305" t="str">
        <f t="shared" si="161"/>
        <v/>
      </c>
      <c r="K575" s="305" t="str">
        <f t="shared" si="162"/>
        <v/>
      </c>
      <c r="L575" s="305" t="str">
        <f t="shared" si="163"/>
        <v/>
      </c>
      <c r="M575" s="314" t="str">
        <f t="shared" si="164"/>
        <v/>
      </c>
      <c r="N575" s="305" t="str">
        <f t="shared" si="165"/>
        <v/>
      </c>
      <c r="O575" s="327" t="e">
        <f t="shared" si="156"/>
        <v>#NUM!</v>
      </c>
      <c r="P575" s="305"/>
      <c r="Q575" s="303">
        <f t="shared" si="155"/>
        <v>0</v>
      </c>
      <c r="R575" s="304">
        <f t="shared" si="159"/>
        <v>-468</v>
      </c>
      <c r="S575" s="305" t="str">
        <f t="shared" si="166"/>
        <v/>
      </c>
      <c r="T575" s="305" t="str">
        <f t="shared" si="167"/>
        <v/>
      </c>
      <c r="U575" s="305" t="str">
        <f t="shared" si="168"/>
        <v/>
      </c>
      <c r="V575" s="305" t="str">
        <f t="shared" si="169"/>
        <v/>
      </c>
      <c r="W575" s="314" t="str">
        <f t="shared" si="170"/>
        <v/>
      </c>
      <c r="X575" s="314" t="str">
        <f t="shared" si="171"/>
        <v/>
      </c>
      <c r="Y575" s="326" t="str">
        <f t="shared" si="157"/>
        <v/>
      </c>
    </row>
    <row r="576" spans="7:25" x14ac:dyDescent="0.25">
      <c r="G576" s="303">
        <f t="shared" si="154"/>
        <v>0</v>
      </c>
      <c r="H576" s="304">
        <f t="shared" si="158"/>
        <v>569</v>
      </c>
      <c r="I576" s="305" t="str">
        <f t="shared" si="160"/>
        <v/>
      </c>
      <c r="J576" s="305" t="str">
        <f t="shared" si="161"/>
        <v/>
      </c>
      <c r="K576" s="305" t="str">
        <f t="shared" si="162"/>
        <v/>
      </c>
      <c r="L576" s="305" t="str">
        <f t="shared" si="163"/>
        <v/>
      </c>
      <c r="M576" s="314" t="str">
        <f t="shared" si="164"/>
        <v/>
      </c>
      <c r="N576" s="305" t="str">
        <f t="shared" si="165"/>
        <v/>
      </c>
      <c r="O576" s="327" t="e">
        <f t="shared" si="156"/>
        <v>#NUM!</v>
      </c>
      <c r="P576" s="305"/>
      <c r="Q576" s="303">
        <f t="shared" si="155"/>
        <v>0</v>
      </c>
      <c r="R576" s="304">
        <f t="shared" si="159"/>
        <v>-469</v>
      </c>
      <c r="S576" s="305" t="str">
        <f t="shared" si="166"/>
        <v/>
      </c>
      <c r="T576" s="305" t="str">
        <f t="shared" si="167"/>
        <v/>
      </c>
      <c r="U576" s="305" t="str">
        <f t="shared" si="168"/>
        <v/>
      </c>
      <c r="V576" s="305" t="str">
        <f t="shared" si="169"/>
        <v/>
      </c>
      <c r="W576" s="314" t="str">
        <f t="shared" si="170"/>
        <v/>
      </c>
      <c r="X576" s="314" t="str">
        <f t="shared" si="171"/>
        <v/>
      </c>
      <c r="Y576" s="326" t="str">
        <f t="shared" si="157"/>
        <v/>
      </c>
    </row>
    <row r="577" spans="7:25" x14ac:dyDescent="0.25">
      <c r="G577" s="303">
        <f t="shared" si="154"/>
        <v>0</v>
      </c>
      <c r="H577" s="304">
        <f t="shared" si="158"/>
        <v>570</v>
      </c>
      <c r="I577" s="305" t="str">
        <f t="shared" si="160"/>
        <v/>
      </c>
      <c r="J577" s="305" t="str">
        <f t="shared" si="161"/>
        <v/>
      </c>
      <c r="K577" s="305" t="str">
        <f t="shared" si="162"/>
        <v/>
      </c>
      <c r="L577" s="305" t="str">
        <f t="shared" si="163"/>
        <v/>
      </c>
      <c r="M577" s="314" t="str">
        <f t="shared" si="164"/>
        <v/>
      </c>
      <c r="N577" s="305" t="str">
        <f t="shared" si="165"/>
        <v/>
      </c>
      <c r="O577" s="327" t="e">
        <f t="shared" si="156"/>
        <v>#NUM!</v>
      </c>
      <c r="P577" s="305"/>
      <c r="Q577" s="303">
        <f t="shared" si="155"/>
        <v>0</v>
      </c>
      <c r="R577" s="304">
        <f t="shared" si="159"/>
        <v>-470</v>
      </c>
      <c r="S577" s="305" t="str">
        <f t="shared" si="166"/>
        <v/>
      </c>
      <c r="T577" s="305" t="str">
        <f t="shared" si="167"/>
        <v/>
      </c>
      <c r="U577" s="305" t="str">
        <f t="shared" si="168"/>
        <v/>
      </c>
      <c r="V577" s="305" t="str">
        <f t="shared" si="169"/>
        <v/>
      </c>
      <c r="W577" s="314" t="str">
        <f t="shared" si="170"/>
        <v/>
      </c>
      <c r="X577" s="314" t="str">
        <f t="shared" si="171"/>
        <v/>
      </c>
      <c r="Y577" s="326" t="str">
        <f t="shared" si="157"/>
        <v/>
      </c>
    </row>
    <row r="578" spans="7:25" x14ac:dyDescent="0.25">
      <c r="G578" s="303">
        <f t="shared" si="154"/>
        <v>0</v>
      </c>
      <c r="H578" s="304">
        <f t="shared" si="158"/>
        <v>571</v>
      </c>
      <c r="I578" s="305" t="str">
        <f t="shared" si="160"/>
        <v/>
      </c>
      <c r="J578" s="305" t="str">
        <f t="shared" si="161"/>
        <v/>
      </c>
      <c r="K578" s="305" t="str">
        <f t="shared" si="162"/>
        <v/>
      </c>
      <c r="L578" s="305" t="str">
        <f t="shared" si="163"/>
        <v/>
      </c>
      <c r="M578" s="314" t="str">
        <f t="shared" si="164"/>
        <v/>
      </c>
      <c r="N578" s="305" t="str">
        <f t="shared" si="165"/>
        <v/>
      </c>
      <c r="O578" s="327" t="e">
        <f t="shared" si="156"/>
        <v>#NUM!</v>
      </c>
      <c r="P578" s="305"/>
      <c r="Q578" s="303">
        <f t="shared" si="155"/>
        <v>0</v>
      </c>
      <c r="R578" s="304">
        <f t="shared" si="159"/>
        <v>-471</v>
      </c>
      <c r="S578" s="305" t="str">
        <f t="shared" si="166"/>
        <v/>
      </c>
      <c r="T578" s="305" t="str">
        <f t="shared" si="167"/>
        <v/>
      </c>
      <c r="U578" s="305" t="str">
        <f t="shared" si="168"/>
        <v/>
      </c>
      <c r="V578" s="305" t="str">
        <f t="shared" si="169"/>
        <v/>
      </c>
      <c r="W578" s="314" t="str">
        <f t="shared" si="170"/>
        <v/>
      </c>
      <c r="X578" s="314" t="str">
        <f t="shared" si="171"/>
        <v/>
      </c>
      <c r="Y578" s="326" t="str">
        <f t="shared" si="157"/>
        <v/>
      </c>
    </row>
    <row r="579" spans="7:25" x14ac:dyDescent="0.25">
      <c r="G579" s="303">
        <f t="shared" si="154"/>
        <v>0</v>
      </c>
      <c r="H579" s="304">
        <f t="shared" si="158"/>
        <v>572</v>
      </c>
      <c r="I579" s="305" t="str">
        <f t="shared" si="160"/>
        <v/>
      </c>
      <c r="J579" s="305" t="str">
        <f t="shared" si="161"/>
        <v/>
      </c>
      <c r="K579" s="305" t="str">
        <f t="shared" si="162"/>
        <v/>
      </c>
      <c r="L579" s="305" t="str">
        <f t="shared" si="163"/>
        <v/>
      </c>
      <c r="M579" s="314" t="str">
        <f t="shared" si="164"/>
        <v/>
      </c>
      <c r="N579" s="305" t="str">
        <f t="shared" si="165"/>
        <v/>
      </c>
      <c r="O579" s="327" t="e">
        <f t="shared" si="156"/>
        <v>#NUM!</v>
      </c>
      <c r="P579" s="305"/>
      <c r="Q579" s="303">
        <f t="shared" si="155"/>
        <v>0</v>
      </c>
      <c r="R579" s="304">
        <f t="shared" si="159"/>
        <v>-472</v>
      </c>
      <c r="S579" s="305" t="str">
        <f t="shared" si="166"/>
        <v/>
      </c>
      <c r="T579" s="305" t="str">
        <f t="shared" si="167"/>
        <v/>
      </c>
      <c r="U579" s="305" t="str">
        <f t="shared" si="168"/>
        <v/>
      </c>
      <c r="V579" s="305" t="str">
        <f t="shared" si="169"/>
        <v/>
      </c>
      <c r="W579" s="314" t="str">
        <f t="shared" si="170"/>
        <v/>
      </c>
      <c r="X579" s="314" t="str">
        <f t="shared" si="171"/>
        <v/>
      </c>
      <c r="Y579" s="326" t="str">
        <f t="shared" si="157"/>
        <v/>
      </c>
    </row>
    <row r="580" spans="7:25" x14ac:dyDescent="0.25">
      <c r="G580" s="303">
        <f t="shared" si="154"/>
        <v>0</v>
      </c>
      <c r="H580" s="304">
        <f t="shared" si="158"/>
        <v>573</v>
      </c>
      <c r="I580" s="305" t="str">
        <f t="shared" si="160"/>
        <v/>
      </c>
      <c r="J580" s="305" t="str">
        <f t="shared" si="161"/>
        <v/>
      </c>
      <c r="K580" s="305" t="str">
        <f t="shared" si="162"/>
        <v/>
      </c>
      <c r="L580" s="305" t="str">
        <f t="shared" si="163"/>
        <v/>
      </c>
      <c r="M580" s="314" t="str">
        <f t="shared" si="164"/>
        <v/>
      </c>
      <c r="N580" s="305" t="str">
        <f t="shared" si="165"/>
        <v/>
      </c>
      <c r="O580" s="327" t="e">
        <f t="shared" si="156"/>
        <v>#NUM!</v>
      </c>
      <c r="P580" s="305"/>
      <c r="Q580" s="303">
        <f t="shared" si="155"/>
        <v>0</v>
      </c>
      <c r="R580" s="304">
        <f t="shared" si="159"/>
        <v>-473</v>
      </c>
      <c r="S580" s="305" t="str">
        <f t="shared" si="166"/>
        <v/>
      </c>
      <c r="T580" s="305" t="str">
        <f t="shared" si="167"/>
        <v/>
      </c>
      <c r="U580" s="305" t="str">
        <f t="shared" si="168"/>
        <v/>
      </c>
      <c r="V580" s="305" t="str">
        <f t="shared" si="169"/>
        <v/>
      </c>
      <c r="W580" s="314" t="str">
        <f t="shared" si="170"/>
        <v/>
      </c>
      <c r="X580" s="314" t="str">
        <f t="shared" si="171"/>
        <v/>
      </c>
      <c r="Y580" s="326" t="str">
        <f t="shared" si="157"/>
        <v/>
      </c>
    </row>
    <row r="581" spans="7:25" x14ac:dyDescent="0.25">
      <c r="G581" s="303">
        <f t="shared" si="154"/>
        <v>0</v>
      </c>
      <c r="H581" s="304">
        <f t="shared" si="158"/>
        <v>574</v>
      </c>
      <c r="I581" s="305" t="str">
        <f t="shared" si="160"/>
        <v/>
      </c>
      <c r="J581" s="305" t="str">
        <f t="shared" si="161"/>
        <v/>
      </c>
      <c r="K581" s="305" t="str">
        <f t="shared" si="162"/>
        <v/>
      </c>
      <c r="L581" s="305" t="str">
        <f t="shared" si="163"/>
        <v/>
      </c>
      <c r="M581" s="314" t="str">
        <f t="shared" si="164"/>
        <v/>
      </c>
      <c r="N581" s="305" t="str">
        <f t="shared" si="165"/>
        <v/>
      </c>
      <c r="O581" s="327" t="e">
        <f t="shared" si="156"/>
        <v>#NUM!</v>
      </c>
      <c r="P581" s="305"/>
      <c r="Q581" s="303">
        <f t="shared" si="155"/>
        <v>0</v>
      </c>
      <c r="R581" s="304">
        <f t="shared" si="159"/>
        <v>-474</v>
      </c>
      <c r="S581" s="305" t="str">
        <f t="shared" si="166"/>
        <v/>
      </c>
      <c r="T581" s="305" t="str">
        <f t="shared" si="167"/>
        <v/>
      </c>
      <c r="U581" s="305" t="str">
        <f t="shared" si="168"/>
        <v/>
      </c>
      <c r="V581" s="305" t="str">
        <f t="shared" si="169"/>
        <v/>
      </c>
      <c r="W581" s="314" t="str">
        <f t="shared" si="170"/>
        <v/>
      </c>
      <c r="X581" s="314" t="str">
        <f t="shared" si="171"/>
        <v/>
      </c>
      <c r="Y581" s="326" t="str">
        <f t="shared" si="157"/>
        <v/>
      </c>
    </row>
    <row r="582" spans="7:25" x14ac:dyDescent="0.25">
      <c r="G582" s="303">
        <f t="shared" si="154"/>
        <v>0</v>
      </c>
      <c r="H582" s="304">
        <f t="shared" si="158"/>
        <v>575</v>
      </c>
      <c r="I582" s="305" t="str">
        <f t="shared" si="160"/>
        <v/>
      </c>
      <c r="J582" s="305" t="str">
        <f t="shared" si="161"/>
        <v/>
      </c>
      <c r="K582" s="305" t="str">
        <f t="shared" si="162"/>
        <v/>
      </c>
      <c r="L582" s="305" t="str">
        <f t="shared" si="163"/>
        <v/>
      </c>
      <c r="M582" s="314" t="str">
        <f t="shared" si="164"/>
        <v/>
      </c>
      <c r="N582" s="305" t="str">
        <f t="shared" si="165"/>
        <v/>
      </c>
      <c r="O582" s="327" t="e">
        <f t="shared" si="156"/>
        <v>#NUM!</v>
      </c>
      <c r="P582" s="305"/>
      <c r="Q582" s="303">
        <f t="shared" si="155"/>
        <v>0</v>
      </c>
      <c r="R582" s="304">
        <f t="shared" si="159"/>
        <v>-475</v>
      </c>
      <c r="S582" s="305" t="str">
        <f t="shared" si="166"/>
        <v/>
      </c>
      <c r="T582" s="305" t="str">
        <f t="shared" si="167"/>
        <v/>
      </c>
      <c r="U582" s="305" t="str">
        <f t="shared" si="168"/>
        <v/>
      </c>
      <c r="V582" s="305" t="str">
        <f t="shared" si="169"/>
        <v/>
      </c>
      <c r="W582" s="314" t="str">
        <f t="shared" si="170"/>
        <v/>
      </c>
      <c r="X582" s="314" t="str">
        <f t="shared" si="171"/>
        <v/>
      </c>
      <c r="Y582" s="326" t="str">
        <f t="shared" si="157"/>
        <v/>
      </c>
    </row>
    <row r="583" spans="7:25" x14ac:dyDescent="0.25">
      <c r="G583" s="303">
        <f t="shared" ref="G583:G646" si="172">IF(H583&lt;=$C$16,1,0)</f>
        <v>0</v>
      </c>
      <c r="H583" s="304">
        <f t="shared" si="158"/>
        <v>576</v>
      </c>
      <c r="I583" s="305" t="str">
        <f t="shared" si="160"/>
        <v/>
      </c>
      <c r="J583" s="305" t="str">
        <f t="shared" si="161"/>
        <v/>
      </c>
      <c r="K583" s="305" t="str">
        <f t="shared" si="162"/>
        <v/>
      </c>
      <c r="L583" s="305" t="str">
        <f t="shared" si="163"/>
        <v/>
      </c>
      <c r="M583" s="314" t="str">
        <f t="shared" si="164"/>
        <v/>
      </c>
      <c r="N583" s="305" t="str">
        <f t="shared" si="165"/>
        <v/>
      </c>
      <c r="O583" s="327" t="e">
        <f t="shared" si="156"/>
        <v>#NUM!</v>
      </c>
      <c r="P583" s="305"/>
      <c r="Q583" s="303">
        <f t="shared" ref="Q583:Q646" si="173">IF(R583&gt;=$C$16,1,0)</f>
        <v>0</v>
      </c>
      <c r="R583" s="304">
        <f t="shared" si="159"/>
        <v>-476</v>
      </c>
      <c r="S583" s="305" t="str">
        <f t="shared" si="166"/>
        <v/>
      </c>
      <c r="T583" s="305" t="str">
        <f t="shared" si="167"/>
        <v/>
      </c>
      <c r="U583" s="305" t="str">
        <f t="shared" si="168"/>
        <v/>
      </c>
      <c r="V583" s="305" t="str">
        <f t="shared" si="169"/>
        <v/>
      </c>
      <c r="W583" s="314" t="str">
        <f t="shared" si="170"/>
        <v/>
      </c>
      <c r="X583" s="314" t="str">
        <f t="shared" si="171"/>
        <v/>
      </c>
      <c r="Y583" s="326" t="str">
        <f t="shared" si="157"/>
        <v/>
      </c>
    </row>
    <row r="584" spans="7:25" x14ac:dyDescent="0.25">
      <c r="G584" s="303">
        <f t="shared" si="172"/>
        <v>0</v>
      </c>
      <c r="H584" s="304">
        <f t="shared" si="158"/>
        <v>577</v>
      </c>
      <c r="I584" s="305" t="str">
        <f t="shared" si="160"/>
        <v/>
      </c>
      <c r="J584" s="305" t="str">
        <f t="shared" si="161"/>
        <v/>
      </c>
      <c r="K584" s="305" t="str">
        <f t="shared" si="162"/>
        <v/>
      </c>
      <c r="L584" s="305" t="str">
        <f t="shared" si="163"/>
        <v/>
      </c>
      <c r="M584" s="314" t="str">
        <f t="shared" si="164"/>
        <v/>
      </c>
      <c r="N584" s="305" t="str">
        <f t="shared" si="165"/>
        <v/>
      </c>
      <c r="O584" s="327" t="e">
        <f t="shared" ref="O584:O647" si="174">IF($C$15=1,IF(AND(O583&lt;=$C$17,M584&lt;=$C$17),M584,""),"")</f>
        <v>#NUM!</v>
      </c>
      <c r="P584" s="305"/>
      <c r="Q584" s="303">
        <f t="shared" si="173"/>
        <v>0</v>
      </c>
      <c r="R584" s="304">
        <f t="shared" si="159"/>
        <v>-477</v>
      </c>
      <c r="S584" s="305" t="str">
        <f t="shared" si="166"/>
        <v/>
      </c>
      <c r="T584" s="305" t="str">
        <f t="shared" si="167"/>
        <v/>
      </c>
      <c r="U584" s="305" t="str">
        <f t="shared" si="168"/>
        <v/>
      </c>
      <c r="V584" s="305" t="str">
        <f t="shared" si="169"/>
        <v/>
      </c>
      <c r="W584" s="314" t="str">
        <f t="shared" si="170"/>
        <v/>
      </c>
      <c r="X584" s="314" t="str">
        <f t="shared" si="171"/>
        <v/>
      </c>
      <c r="Y584" s="326" t="str">
        <f t="shared" ref="Y584:Y647" si="175">IF($C$15=-1,IF(AND(Y583&lt;=$C$17,W584&lt;=$C$17),M584,""),"")</f>
        <v/>
      </c>
    </row>
    <row r="585" spans="7:25" x14ac:dyDescent="0.25">
      <c r="G585" s="303">
        <f t="shared" si="172"/>
        <v>0</v>
      </c>
      <c r="H585" s="304">
        <f t="shared" ref="H585:H648" si="176">H584+1</f>
        <v>578</v>
      </c>
      <c r="I585" s="305" t="str">
        <f t="shared" si="160"/>
        <v/>
      </c>
      <c r="J585" s="305" t="str">
        <f t="shared" si="161"/>
        <v/>
      </c>
      <c r="K585" s="305" t="str">
        <f t="shared" si="162"/>
        <v/>
      </c>
      <c r="L585" s="305" t="str">
        <f t="shared" si="163"/>
        <v/>
      </c>
      <c r="M585" s="314" t="str">
        <f t="shared" si="164"/>
        <v/>
      </c>
      <c r="N585" s="305" t="str">
        <f t="shared" si="165"/>
        <v/>
      </c>
      <c r="O585" s="327" t="e">
        <f t="shared" si="174"/>
        <v>#NUM!</v>
      </c>
      <c r="P585" s="305"/>
      <c r="Q585" s="303">
        <f t="shared" si="173"/>
        <v>0</v>
      </c>
      <c r="R585" s="304">
        <f t="shared" ref="R585:R648" si="177">R584-1</f>
        <v>-478</v>
      </c>
      <c r="S585" s="305" t="str">
        <f t="shared" si="166"/>
        <v/>
      </c>
      <c r="T585" s="305" t="str">
        <f t="shared" si="167"/>
        <v/>
      </c>
      <c r="U585" s="305" t="str">
        <f t="shared" si="168"/>
        <v/>
      </c>
      <c r="V585" s="305" t="str">
        <f t="shared" si="169"/>
        <v/>
      </c>
      <c r="W585" s="314" t="str">
        <f t="shared" si="170"/>
        <v/>
      </c>
      <c r="X585" s="314" t="str">
        <f t="shared" si="171"/>
        <v/>
      </c>
      <c r="Y585" s="326" t="str">
        <f t="shared" si="175"/>
        <v/>
      </c>
    </row>
    <row r="586" spans="7:25" x14ac:dyDescent="0.25">
      <c r="G586" s="303">
        <f t="shared" si="172"/>
        <v>0</v>
      </c>
      <c r="H586" s="304">
        <f t="shared" si="176"/>
        <v>579</v>
      </c>
      <c r="I586" s="305" t="str">
        <f t="shared" si="160"/>
        <v/>
      </c>
      <c r="J586" s="305" t="str">
        <f t="shared" si="161"/>
        <v/>
      </c>
      <c r="K586" s="305" t="str">
        <f t="shared" si="162"/>
        <v/>
      </c>
      <c r="L586" s="305" t="str">
        <f t="shared" si="163"/>
        <v/>
      </c>
      <c r="M586" s="314" t="str">
        <f t="shared" si="164"/>
        <v/>
      </c>
      <c r="N586" s="305" t="str">
        <f t="shared" si="165"/>
        <v/>
      </c>
      <c r="O586" s="327" t="e">
        <f t="shared" si="174"/>
        <v>#NUM!</v>
      </c>
      <c r="P586" s="305"/>
      <c r="Q586" s="303">
        <f t="shared" si="173"/>
        <v>0</v>
      </c>
      <c r="R586" s="304">
        <f t="shared" si="177"/>
        <v>-479</v>
      </c>
      <c r="S586" s="305" t="str">
        <f t="shared" si="166"/>
        <v/>
      </c>
      <c r="T586" s="305" t="str">
        <f t="shared" si="167"/>
        <v/>
      </c>
      <c r="U586" s="305" t="str">
        <f t="shared" si="168"/>
        <v/>
      </c>
      <c r="V586" s="305" t="str">
        <f t="shared" si="169"/>
        <v/>
      </c>
      <c r="W586" s="314" t="str">
        <f t="shared" si="170"/>
        <v/>
      </c>
      <c r="X586" s="314" t="str">
        <f t="shared" si="171"/>
        <v/>
      </c>
      <c r="Y586" s="326" t="str">
        <f t="shared" si="175"/>
        <v/>
      </c>
    </row>
    <row r="587" spans="7:25" x14ac:dyDescent="0.25">
      <c r="G587" s="303">
        <f t="shared" si="172"/>
        <v>0</v>
      </c>
      <c r="H587" s="304">
        <f t="shared" si="176"/>
        <v>580</v>
      </c>
      <c r="I587" s="305" t="str">
        <f t="shared" si="160"/>
        <v/>
      </c>
      <c r="J587" s="305" t="str">
        <f t="shared" si="161"/>
        <v/>
      </c>
      <c r="K587" s="305" t="str">
        <f t="shared" si="162"/>
        <v/>
      </c>
      <c r="L587" s="305" t="str">
        <f t="shared" si="163"/>
        <v/>
      </c>
      <c r="M587" s="314" t="str">
        <f t="shared" si="164"/>
        <v/>
      </c>
      <c r="N587" s="305" t="str">
        <f t="shared" si="165"/>
        <v/>
      </c>
      <c r="O587" s="327" t="e">
        <f t="shared" si="174"/>
        <v>#NUM!</v>
      </c>
      <c r="P587" s="305"/>
      <c r="Q587" s="303">
        <f t="shared" si="173"/>
        <v>0</v>
      </c>
      <c r="R587" s="304">
        <f t="shared" si="177"/>
        <v>-480</v>
      </c>
      <c r="S587" s="305" t="str">
        <f t="shared" si="166"/>
        <v/>
      </c>
      <c r="T587" s="305" t="str">
        <f t="shared" si="167"/>
        <v/>
      </c>
      <c r="U587" s="305" t="str">
        <f t="shared" si="168"/>
        <v/>
      </c>
      <c r="V587" s="305" t="str">
        <f t="shared" si="169"/>
        <v/>
      </c>
      <c r="W587" s="314" t="str">
        <f t="shared" si="170"/>
        <v/>
      </c>
      <c r="X587" s="314" t="str">
        <f t="shared" si="171"/>
        <v/>
      </c>
      <c r="Y587" s="326" t="str">
        <f t="shared" si="175"/>
        <v/>
      </c>
    </row>
    <row r="588" spans="7:25" x14ac:dyDescent="0.25">
      <c r="G588" s="303">
        <f t="shared" si="172"/>
        <v>0</v>
      </c>
      <c r="H588" s="304">
        <f t="shared" si="176"/>
        <v>581</v>
      </c>
      <c r="I588" s="305" t="str">
        <f t="shared" si="160"/>
        <v/>
      </c>
      <c r="J588" s="305" t="str">
        <f t="shared" si="161"/>
        <v/>
      </c>
      <c r="K588" s="305" t="str">
        <f t="shared" si="162"/>
        <v/>
      </c>
      <c r="L588" s="305" t="str">
        <f t="shared" si="163"/>
        <v/>
      </c>
      <c r="M588" s="314" t="str">
        <f t="shared" si="164"/>
        <v/>
      </c>
      <c r="N588" s="305" t="str">
        <f t="shared" si="165"/>
        <v/>
      </c>
      <c r="O588" s="327" t="e">
        <f t="shared" si="174"/>
        <v>#NUM!</v>
      </c>
      <c r="P588" s="305"/>
      <c r="Q588" s="303">
        <f t="shared" si="173"/>
        <v>0</v>
      </c>
      <c r="R588" s="304">
        <f t="shared" si="177"/>
        <v>-481</v>
      </c>
      <c r="S588" s="305" t="str">
        <f t="shared" si="166"/>
        <v/>
      </c>
      <c r="T588" s="305" t="str">
        <f t="shared" si="167"/>
        <v/>
      </c>
      <c r="U588" s="305" t="str">
        <f t="shared" si="168"/>
        <v/>
      </c>
      <c r="V588" s="305" t="str">
        <f t="shared" si="169"/>
        <v/>
      </c>
      <c r="W588" s="314" t="str">
        <f t="shared" si="170"/>
        <v/>
      </c>
      <c r="X588" s="314" t="str">
        <f t="shared" si="171"/>
        <v/>
      </c>
      <c r="Y588" s="326" t="str">
        <f t="shared" si="175"/>
        <v/>
      </c>
    </row>
    <row r="589" spans="7:25" x14ac:dyDescent="0.25">
      <c r="G589" s="303">
        <f t="shared" si="172"/>
        <v>0</v>
      </c>
      <c r="H589" s="304">
        <f t="shared" si="176"/>
        <v>582</v>
      </c>
      <c r="I589" s="305" t="str">
        <f t="shared" ref="I589:I652" si="178">IF(G589,H589,"")</f>
        <v/>
      </c>
      <c r="J589" s="305" t="str">
        <f t="shared" ref="J589:J652" si="179">IF(G589,$D$5-H589,"")</f>
        <v/>
      </c>
      <c r="K589" s="305" t="str">
        <f t="shared" ref="K589:K652" si="180">IF(G589,$B$7-H589,"")</f>
        <v/>
      </c>
      <c r="L589" s="305" t="str">
        <f t="shared" ref="L589:L652" si="181">IF(G589,$D$7-SUM(I589:K589),"")</f>
        <v/>
      </c>
      <c r="M589" s="314" t="str">
        <f t="shared" ref="M589:M652" si="182">IF(G589,M588*(K588*J588)/(L589*I589),"")</f>
        <v/>
      </c>
      <c r="N589" s="305" t="str">
        <f t="shared" ref="N589:N652" si="183">IF(AND(G589=1,I589&lt;=$B$5),M589,"")</f>
        <v/>
      </c>
      <c r="O589" s="327" t="e">
        <f t="shared" si="174"/>
        <v>#NUM!</v>
      </c>
      <c r="P589" s="305"/>
      <c r="Q589" s="303">
        <f t="shared" si="173"/>
        <v>0</v>
      </c>
      <c r="R589" s="304">
        <f t="shared" si="177"/>
        <v>-482</v>
      </c>
      <c r="S589" s="305" t="str">
        <f t="shared" ref="S589:S652" si="184">IF(Q589,R589,"")</f>
        <v/>
      </c>
      <c r="T589" s="305" t="str">
        <f t="shared" ref="T589:T652" si="185">IF(Q589,$D$5-R589,"")</f>
        <v/>
      </c>
      <c r="U589" s="305" t="str">
        <f t="shared" ref="U589:U652" si="186">IF(Q589,$B$7-R589,"")</f>
        <v/>
      </c>
      <c r="V589" s="305" t="str">
        <f t="shared" ref="V589:V652" si="187">IF(Q589,$D$7-SUM(S589:U589),"")</f>
        <v/>
      </c>
      <c r="W589" s="314" t="str">
        <f t="shared" ref="W589:W652" si="188">IF(Q589,W588*(S588*V588)/(U589*T589),"")</f>
        <v/>
      </c>
      <c r="X589" s="314" t="str">
        <f t="shared" ref="X589:X652" si="189">IF(AND(Q589=1,S589&gt;=$B$5),W589,"")</f>
        <v/>
      </c>
      <c r="Y589" s="326" t="str">
        <f t="shared" si="175"/>
        <v/>
      </c>
    </row>
    <row r="590" spans="7:25" x14ac:dyDescent="0.25">
      <c r="G590" s="303">
        <f t="shared" si="172"/>
        <v>0</v>
      </c>
      <c r="H590" s="304">
        <f t="shared" si="176"/>
        <v>583</v>
      </c>
      <c r="I590" s="305" t="str">
        <f t="shared" si="178"/>
        <v/>
      </c>
      <c r="J590" s="305" t="str">
        <f t="shared" si="179"/>
        <v/>
      </c>
      <c r="K590" s="305" t="str">
        <f t="shared" si="180"/>
        <v/>
      </c>
      <c r="L590" s="305" t="str">
        <f t="shared" si="181"/>
        <v/>
      </c>
      <c r="M590" s="314" t="str">
        <f t="shared" si="182"/>
        <v/>
      </c>
      <c r="N590" s="305" t="str">
        <f t="shared" si="183"/>
        <v/>
      </c>
      <c r="O590" s="327" t="e">
        <f t="shared" si="174"/>
        <v>#NUM!</v>
      </c>
      <c r="P590" s="305"/>
      <c r="Q590" s="303">
        <f t="shared" si="173"/>
        <v>0</v>
      </c>
      <c r="R590" s="304">
        <f t="shared" si="177"/>
        <v>-483</v>
      </c>
      <c r="S590" s="305" t="str">
        <f t="shared" si="184"/>
        <v/>
      </c>
      <c r="T590" s="305" t="str">
        <f t="shared" si="185"/>
        <v/>
      </c>
      <c r="U590" s="305" t="str">
        <f t="shared" si="186"/>
        <v/>
      </c>
      <c r="V590" s="305" t="str">
        <f t="shared" si="187"/>
        <v/>
      </c>
      <c r="W590" s="314" t="str">
        <f t="shared" si="188"/>
        <v/>
      </c>
      <c r="X590" s="314" t="str">
        <f t="shared" si="189"/>
        <v/>
      </c>
      <c r="Y590" s="326" t="str">
        <f t="shared" si="175"/>
        <v/>
      </c>
    </row>
    <row r="591" spans="7:25" x14ac:dyDescent="0.25">
      <c r="G591" s="303">
        <f t="shared" si="172"/>
        <v>0</v>
      </c>
      <c r="H591" s="304">
        <f t="shared" si="176"/>
        <v>584</v>
      </c>
      <c r="I591" s="305" t="str">
        <f t="shared" si="178"/>
        <v/>
      </c>
      <c r="J591" s="305" t="str">
        <f t="shared" si="179"/>
        <v/>
      </c>
      <c r="K591" s="305" t="str">
        <f t="shared" si="180"/>
        <v/>
      </c>
      <c r="L591" s="305" t="str">
        <f t="shared" si="181"/>
        <v/>
      </c>
      <c r="M591" s="314" t="str">
        <f t="shared" si="182"/>
        <v/>
      </c>
      <c r="N591" s="305" t="str">
        <f t="shared" si="183"/>
        <v/>
      </c>
      <c r="O591" s="327" t="e">
        <f t="shared" si="174"/>
        <v>#NUM!</v>
      </c>
      <c r="P591" s="305"/>
      <c r="Q591" s="303">
        <f t="shared" si="173"/>
        <v>0</v>
      </c>
      <c r="R591" s="304">
        <f t="shared" si="177"/>
        <v>-484</v>
      </c>
      <c r="S591" s="305" t="str">
        <f t="shared" si="184"/>
        <v/>
      </c>
      <c r="T591" s="305" t="str">
        <f t="shared" si="185"/>
        <v/>
      </c>
      <c r="U591" s="305" t="str">
        <f t="shared" si="186"/>
        <v/>
      </c>
      <c r="V591" s="305" t="str">
        <f t="shared" si="187"/>
        <v/>
      </c>
      <c r="W591" s="314" t="str">
        <f t="shared" si="188"/>
        <v/>
      </c>
      <c r="X591" s="314" t="str">
        <f t="shared" si="189"/>
        <v/>
      </c>
      <c r="Y591" s="326" t="str">
        <f t="shared" si="175"/>
        <v/>
      </c>
    </row>
    <row r="592" spans="7:25" x14ac:dyDescent="0.25">
      <c r="G592" s="303">
        <f t="shared" si="172"/>
        <v>0</v>
      </c>
      <c r="H592" s="304">
        <f t="shared" si="176"/>
        <v>585</v>
      </c>
      <c r="I592" s="305" t="str">
        <f t="shared" si="178"/>
        <v/>
      </c>
      <c r="J592" s="305" t="str">
        <f t="shared" si="179"/>
        <v/>
      </c>
      <c r="K592" s="305" t="str">
        <f t="shared" si="180"/>
        <v/>
      </c>
      <c r="L592" s="305" t="str">
        <f t="shared" si="181"/>
        <v/>
      </c>
      <c r="M592" s="314" t="str">
        <f t="shared" si="182"/>
        <v/>
      </c>
      <c r="N592" s="305" t="str">
        <f t="shared" si="183"/>
        <v/>
      </c>
      <c r="O592" s="327" t="e">
        <f t="shared" si="174"/>
        <v>#NUM!</v>
      </c>
      <c r="P592" s="305"/>
      <c r="Q592" s="303">
        <f t="shared" si="173"/>
        <v>0</v>
      </c>
      <c r="R592" s="304">
        <f t="shared" si="177"/>
        <v>-485</v>
      </c>
      <c r="S592" s="305" t="str">
        <f t="shared" si="184"/>
        <v/>
      </c>
      <c r="T592" s="305" t="str">
        <f t="shared" si="185"/>
        <v/>
      </c>
      <c r="U592" s="305" t="str">
        <f t="shared" si="186"/>
        <v/>
      </c>
      <c r="V592" s="305" t="str">
        <f t="shared" si="187"/>
        <v/>
      </c>
      <c r="W592" s="314" t="str">
        <f t="shared" si="188"/>
        <v/>
      </c>
      <c r="X592" s="314" t="str">
        <f t="shared" si="189"/>
        <v/>
      </c>
      <c r="Y592" s="326" t="str">
        <f t="shared" si="175"/>
        <v/>
      </c>
    </row>
    <row r="593" spans="7:25" x14ac:dyDescent="0.25">
      <c r="G593" s="303">
        <f t="shared" si="172"/>
        <v>0</v>
      </c>
      <c r="H593" s="304">
        <f t="shared" si="176"/>
        <v>586</v>
      </c>
      <c r="I593" s="305" t="str">
        <f t="shared" si="178"/>
        <v/>
      </c>
      <c r="J593" s="305" t="str">
        <f t="shared" si="179"/>
        <v/>
      </c>
      <c r="K593" s="305" t="str">
        <f t="shared" si="180"/>
        <v/>
      </c>
      <c r="L593" s="305" t="str">
        <f t="shared" si="181"/>
        <v/>
      </c>
      <c r="M593" s="314" t="str">
        <f t="shared" si="182"/>
        <v/>
      </c>
      <c r="N593" s="305" t="str">
        <f t="shared" si="183"/>
        <v/>
      </c>
      <c r="O593" s="327" t="e">
        <f t="shared" si="174"/>
        <v>#NUM!</v>
      </c>
      <c r="P593" s="305"/>
      <c r="Q593" s="303">
        <f t="shared" si="173"/>
        <v>0</v>
      </c>
      <c r="R593" s="304">
        <f t="shared" si="177"/>
        <v>-486</v>
      </c>
      <c r="S593" s="305" t="str">
        <f t="shared" si="184"/>
        <v/>
      </c>
      <c r="T593" s="305" t="str">
        <f t="shared" si="185"/>
        <v/>
      </c>
      <c r="U593" s="305" t="str">
        <f t="shared" si="186"/>
        <v/>
      </c>
      <c r="V593" s="305" t="str">
        <f t="shared" si="187"/>
        <v/>
      </c>
      <c r="W593" s="314" t="str">
        <f t="shared" si="188"/>
        <v/>
      </c>
      <c r="X593" s="314" t="str">
        <f t="shared" si="189"/>
        <v/>
      </c>
      <c r="Y593" s="326" t="str">
        <f t="shared" si="175"/>
        <v/>
      </c>
    </row>
    <row r="594" spans="7:25" x14ac:dyDescent="0.25">
      <c r="G594" s="303">
        <f t="shared" si="172"/>
        <v>0</v>
      </c>
      <c r="H594" s="304">
        <f t="shared" si="176"/>
        <v>587</v>
      </c>
      <c r="I594" s="305" t="str">
        <f t="shared" si="178"/>
        <v/>
      </c>
      <c r="J594" s="305" t="str">
        <f t="shared" si="179"/>
        <v/>
      </c>
      <c r="K594" s="305" t="str">
        <f t="shared" si="180"/>
        <v/>
      </c>
      <c r="L594" s="305" t="str">
        <f t="shared" si="181"/>
        <v/>
      </c>
      <c r="M594" s="314" t="str">
        <f t="shared" si="182"/>
        <v/>
      </c>
      <c r="N594" s="305" t="str">
        <f t="shared" si="183"/>
        <v/>
      </c>
      <c r="O594" s="327" t="e">
        <f t="shared" si="174"/>
        <v>#NUM!</v>
      </c>
      <c r="P594" s="305"/>
      <c r="Q594" s="303">
        <f t="shared" si="173"/>
        <v>0</v>
      </c>
      <c r="R594" s="304">
        <f t="shared" si="177"/>
        <v>-487</v>
      </c>
      <c r="S594" s="305" t="str">
        <f t="shared" si="184"/>
        <v/>
      </c>
      <c r="T594" s="305" t="str">
        <f t="shared" si="185"/>
        <v/>
      </c>
      <c r="U594" s="305" t="str">
        <f t="shared" si="186"/>
        <v/>
      </c>
      <c r="V594" s="305" t="str">
        <f t="shared" si="187"/>
        <v/>
      </c>
      <c r="W594" s="314" t="str">
        <f t="shared" si="188"/>
        <v/>
      </c>
      <c r="X594" s="314" t="str">
        <f t="shared" si="189"/>
        <v/>
      </c>
      <c r="Y594" s="326" t="str">
        <f t="shared" si="175"/>
        <v/>
      </c>
    </row>
    <row r="595" spans="7:25" x14ac:dyDescent="0.25">
      <c r="G595" s="303">
        <f t="shared" si="172"/>
        <v>0</v>
      </c>
      <c r="H595" s="304">
        <f t="shared" si="176"/>
        <v>588</v>
      </c>
      <c r="I595" s="305" t="str">
        <f t="shared" si="178"/>
        <v/>
      </c>
      <c r="J595" s="305" t="str">
        <f t="shared" si="179"/>
        <v/>
      </c>
      <c r="K595" s="305" t="str">
        <f t="shared" si="180"/>
        <v/>
      </c>
      <c r="L595" s="305" t="str">
        <f t="shared" si="181"/>
        <v/>
      </c>
      <c r="M595" s="314" t="str">
        <f t="shared" si="182"/>
        <v/>
      </c>
      <c r="N595" s="305" t="str">
        <f t="shared" si="183"/>
        <v/>
      </c>
      <c r="O595" s="327" t="e">
        <f t="shared" si="174"/>
        <v>#NUM!</v>
      </c>
      <c r="P595" s="305"/>
      <c r="Q595" s="303">
        <f t="shared" si="173"/>
        <v>0</v>
      </c>
      <c r="R595" s="304">
        <f t="shared" si="177"/>
        <v>-488</v>
      </c>
      <c r="S595" s="305" t="str">
        <f t="shared" si="184"/>
        <v/>
      </c>
      <c r="T595" s="305" t="str">
        <f t="shared" si="185"/>
        <v/>
      </c>
      <c r="U595" s="305" t="str">
        <f t="shared" si="186"/>
        <v/>
      </c>
      <c r="V595" s="305" t="str">
        <f t="shared" si="187"/>
        <v/>
      </c>
      <c r="W595" s="314" t="str">
        <f t="shared" si="188"/>
        <v/>
      </c>
      <c r="X595" s="314" t="str">
        <f t="shared" si="189"/>
        <v/>
      </c>
      <c r="Y595" s="326" t="str">
        <f t="shared" si="175"/>
        <v/>
      </c>
    </row>
    <row r="596" spans="7:25" x14ac:dyDescent="0.25">
      <c r="G596" s="303">
        <f t="shared" si="172"/>
        <v>0</v>
      </c>
      <c r="H596" s="304">
        <f t="shared" si="176"/>
        <v>589</v>
      </c>
      <c r="I596" s="305" t="str">
        <f t="shared" si="178"/>
        <v/>
      </c>
      <c r="J596" s="305" t="str">
        <f t="shared" si="179"/>
        <v/>
      </c>
      <c r="K596" s="305" t="str">
        <f t="shared" si="180"/>
        <v/>
      </c>
      <c r="L596" s="305" t="str">
        <f t="shared" si="181"/>
        <v/>
      </c>
      <c r="M596" s="314" t="str">
        <f t="shared" si="182"/>
        <v/>
      </c>
      <c r="N596" s="305" t="str">
        <f t="shared" si="183"/>
        <v/>
      </c>
      <c r="O596" s="327" t="e">
        <f t="shared" si="174"/>
        <v>#NUM!</v>
      </c>
      <c r="P596" s="305"/>
      <c r="Q596" s="303">
        <f t="shared" si="173"/>
        <v>0</v>
      </c>
      <c r="R596" s="304">
        <f t="shared" si="177"/>
        <v>-489</v>
      </c>
      <c r="S596" s="305" t="str">
        <f t="shared" si="184"/>
        <v/>
      </c>
      <c r="T596" s="305" t="str">
        <f t="shared" si="185"/>
        <v/>
      </c>
      <c r="U596" s="305" t="str">
        <f t="shared" si="186"/>
        <v/>
      </c>
      <c r="V596" s="305" t="str">
        <f t="shared" si="187"/>
        <v/>
      </c>
      <c r="W596" s="314" t="str">
        <f t="shared" si="188"/>
        <v/>
      </c>
      <c r="X596" s="314" t="str">
        <f t="shared" si="189"/>
        <v/>
      </c>
      <c r="Y596" s="326" t="str">
        <f t="shared" si="175"/>
        <v/>
      </c>
    </row>
    <row r="597" spans="7:25" x14ac:dyDescent="0.25">
      <c r="G597" s="303">
        <f t="shared" si="172"/>
        <v>0</v>
      </c>
      <c r="H597" s="304">
        <f t="shared" si="176"/>
        <v>590</v>
      </c>
      <c r="I597" s="305" t="str">
        <f t="shared" si="178"/>
        <v/>
      </c>
      <c r="J597" s="305" t="str">
        <f t="shared" si="179"/>
        <v/>
      </c>
      <c r="K597" s="305" t="str">
        <f t="shared" si="180"/>
        <v/>
      </c>
      <c r="L597" s="305" t="str">
        <f t="shared" si="181"/>
        <v/>
      </c>
      <c r="M597" s="314" t="str">
        <f t="shared" si="182"/>
        <v/>
      </c>
      <c r="N597" s="305" t="str">
        <f t="shared" si="183"/>
        <v/>
      </c>
      <c r="O597" s="327" t="e">
        <f t="shared" si="174"/>
        <v>#NUM!</v>
      </c>
      <c r="P597" s="305"/>
      <c r="Q597" s="303">
        <f t="shared" si="173"/>
        <v>0</v>
      </c>
      <c r="R597" s="304">
        <f t="shared" si="177"/>
        <v>-490</v>
      </c>
      <c r="S597" s="305" t="str">
        <f t="shared" si="184"/>
        <v/>
      </c>
      <c r="T597" s="305" t="str">
        <f t="shared" si="185"/>
        <v/>
      </c>
      <c r="U597" s="305" t="str">
        <f t="shared" si="186"/>
        <v/>
      </c>
      <c r="V597" s="305" t="str">
        <f t="shared" si="187"/>
        <v/>
      </c>
      <c r="W597" s="314" t="str">
        <f t="shared" si="188"/>
        <v/>
      </c>
      <c r="X597" s="314" t="str">
        <f t="shared" si="189"/>
        <v/>
      </c>
      <c r="Y597" s="326" t="str">
        <f t="shared" si="175"/>
        <v/>
      </c>
    </row>
    <row r="598" spans="7:25" x14ac:dyDescent="0.25">
      <c r="G598" s="303">
        <f t="shared" si="172"/>
        <v>0</v>
      </c>
      <c r="H598" s="304">
        <f t="shared" si="176"/>
        <v>591</v>
      </c>
      <c r="I598" s="305" t="str">
        <f t="shared" si="178"/>
        <v/>
      </c>
      <c r="J598" s="305" t="str">
        <f t="shared" si="179"/>
        <v/>
      </c>
      <c r="K598" s="305" t="str">
        <f t="shared" si="180"/>
        <v/>
      </c>
      <c r="L598" s="305" t="str">
        <f t="shared" si="181"/>
        <v/>
      </c>
      <c r="M598" s="314" t="str">
        <f t="shared" si="182"/>
        <v/>
      </c>
      <c r="N598" s="305" t="str">
        <f t="shared" si="183"/>
        <v/>
      </c>
      <c r="O598" s="327" t="e">
        <f t="shared" si="174"/>
        <v>#NUM!</v>
      </c>
      <c r="P598" s="305"/>
      <c r="Q598" s="303">
        <f t="shared" si="173"/>
        <v>0</v>
      </c>
      <c r="R598" s="304">
        <f t="shared" si="177"/>
        <v>-491</v>
      </c>
      <c r="S598" s="305" t="str">
        <f t="shared" si="184"/>
        <v/>
      </c>
      <c r="T598" s="305" t="str">
        <f t="shared" si="185"/>
        <v/>
      </c>
      <c r="U598" s="305" t="str">
        <f t="shared" si="186"/>
        <v/>
      </c>
      <c r="V598" s="305" t="str">
        <f t="shared" si="187"/>
        <v/>
      </c>
      <c r="W598" s="314" t="str">
        <f t="shared" si="188"/>
        <v/>
      </c>
      <c r="X598" s="314" t="str">
        <f t="shared" si="189"/>
        <v/>
      </c>
      <c r="Y598" s="326" t="str">
        <f t="shared" si="175"/>
        <v/>
      </c>
    </row>
    <row r="599" spans="7:25" x14ac:dyDescent="0.25">
      <c r="G599" s="303">
        <f t="shared" si="172"/>
        <v>0</v>
      </c>
      <c r="H599" s="304">
        <f t="shared" si="176"/>
        <v>592</v>
      </c>
      <c r="I599" s="305" t="str">
        <f t="shared" si="178"/>
        <v/>
      </c>
      <c r="J599" s="305" t="str">
        <f t="shared" si="179"/>
        <v/>
      </c>
      <c r="K599" s="305" t="str">
        <f t="shared" si="180"/>
        <v/>
      </c>
      <c r="L599" s="305" t="str">
        <f t="shared" si="181"/>
        <v/>
      </c>
      <c r="M599" s="314" t="str">
        <f t="shared" si="182"/>
        <v/>
      </c>
      <c r="N599" s="305" t="str">
        <f t="shared" si="183"/>
        <v/>
      </c>
      <c r="O599" s="327" t="e">
        <f t="shared" si="174"/>
        <v>#NUM!</v>
      </c>
      <c r="P599" s="305"/>
      <c r="Q599" s="303">
        <f t="shared" si="173"/>
        <v>0</v>
      </c>
      <c r="R599" s="304">
        <f t="shared" si="177"/>
        <v>-492</v>
      </c>
      <c r="S599" s="305" t="str">
        <f t="shared" si="184"/>
        <v/>
      </c>
      <c r="T599" s="305" t="str">
        <f t="shared" si="185"/>
        <v/>
      </c>
      <c r="U599" s="305" t="str">
        <f t="shared" si="186"/>
        <v/>
      </c>
      <c r="V599" s="305" t="str">
        <f t="shared" si="187"/>
        <v/>
      </c>
      <c r="W599" s="314" t="str">
        <f t="shared" si="188"/>
        <v/>
      </c>
      <c r="X599" s="314" t="str">
        <f t="shared" si="189"/>
        <v/>
      </c>
      <c r="Y599" s="326" t="str">
        <f t="shared" si="175"/>
        <v/>
      </c>
    </row>
    <row r="600" spans="7:25" x14ac:dyDescent="0.25">
      <c r="G600" s="303">
        <f t="shared" si="172"/>
        <v>0</v>
      </c>
      <c r="H600" s="304">
        <f t="shared" si="176"/>
        <v>593</v>
      </c>
      <c r="I600" s="305" t="str">
        <f t="shared" si="178"/>
        <v/>
      </c>
      <c r="J600" s="305" t="str">
        <f t="shared" si="179"/>
        <v/>
      </c>
      <c r="K600" s="305" t="str">
        <f t="shared" si="180"/>
        <v/>
      </c>
      <c r="L600" s="305" t="str">
        <f t="shared" si="181"/>
        <v/>
      </c>
      <c r="M600" s="314" t="str">
        <f t="shared" si="182"/>
        <v/>
      </c>
      <c r="N600" s="305" t="str">
        <f t="shared" si="183"/>
        <v/>
      </c>
      <c r="O600" s="327" t="e">
        <f t="shared" si="174"/>
        <v>#NUM!</v>
      </c>
      <c r="P600" s="305"/>
      <c r="Q600" s="303">
        <f t="shared" si="173"/>
        <v>0</v>
      </c>
      <c r="R600" s="304">
        <f t="shared" si="177"/>
        <v>-493</v>
      </c>
      <c r="S600" s="305" t="str">
        <f t="shared" si="184"/>
        <v/>
      </c>
      <c r="T600" s="305" t="str">
        <f t="shared" si="185"/>
        <v/>
      </c>
      <c r="U600" s="305" t="str">
        <f t="shared" si="186"/>
        <v/>
      </c>
      <c r="V600" s="305" t="str">
        <f t="shared" si="187"/>
        <v/>
      </c>
      <c r="W600" s="314" t="str">
        <f t="shared" si="188"/>
        <v/>
      </c>
      <c r="X600" s="314" t="str">
        <f t="shared" si="189"/>
        <v/>
      </c>
      <c r="Y600" s="326" t="str">
        <f t="shared" si="175"/>
        <v/>
      </c>
    </row>
    <row r="601" spans="7:25" x14ac:dyDescent="0.25">
      <c r="G601" s="303">
        <f t="shared" si="172"/>
        <v>0</v>
      </c>
      <c r="H601" s="304">
        <f t="shared" si="176"/>
        <v>594</v>
      </c>
      <c r="I601" s="305" t="str">
        <f t="shared" si="178"/>
        <v/>
      </c>
      <c r="J601" s="305" t="str">
        <f t="shared" si="179"/>
        <v/>
      </c>
      <c r="K601" s="305" t="str">
        <f t="shared" si="180"/>
        <v/>
      </c>
      <c r="L601" s="305" t="str">
        <f t="shared" si="181"/>
        <v/>
      </c>
      <c r="M601" s="314" t="str">
        <f t="shared" si="182"/>
        <v/>
      </c>
      <c r="N601" s="305" t="str">
        <f t="shared" si="183"/>
        <v/>
      </c>
      <c r="O601" s="327" t="e">
        <f t="shared" si="174"/>
        <v>#NUM!</v>
      </c>
      <c r="P601" s="305"/>
      <c r="Q601" s="303">
        <f t="shared" si="173"/>
        <v>0</v>
      </c>
      <c r="R601" s="304">
        <f t="shared" si="177"/>
        <v>-494</v>
      </c>
      <c r="S601" s="305" t="str">
        <f t="shared" si="184"/>
        <v/>
      </c>
      <c r="T601" s="305" t="str">
        <f t="shared" si="185"/>
        <v/>
      </c>
      <c r="U601" s="305" t="str">
        <f t="shared" si="186"/>
        <v/>
      </c>
      <c r="V601" s="305" t="str">
        <f t="shared" si="187"/>
        <v/>
      </c>
      <c r="W601" s="314" t="str">
        <f t="shared" si="188"/>
        <v/>
      </c>
      <c r="X601" s="314" t="str">
        <f t="shared" si="189"/>
        <v/>
      </c>
      <c r="Y601" s="326" t="str">
        <f t="shared" si="175"/>
        <v/>
      </c>
    </row>
    <row r="602" spans="7:25" x14ac:dyDescent="0.25">
      <c r="G602" s="303">
        <f t="shared" si="172"/>
        <v>0</v>
      </c>
      <c r="H602" s="304">
        <f t="shared" si="176"/>
        <v>595</v>
      </c>
      <c r="I602" s="305" t="str">
        <f t="shared" si="178"/>
        <v/>
      </c>
      <c r="J602" s="305" t="str">
        <f t="shared" si="179"/>
        <v/>
      </c>
      <c r="K602" s="305" t="str">
        <f t="shared" si="180"/>
        <v/>
      </c>
      <c r="L602" s="305" t="str">
        <f t="shared" si="181"/>
        <v/>
      </c>
      <c r="M602" s="314" t="str">
        <f t="shared" si="182"/>
        <v/>
      </c>
      <c r="N602" s="305" t="str">
        <f t="shared" si="183"/>
        <v/>
      </c>
      <c r="O602" s="327" t="e">
        <f t="shared" si="174"/>
        <v>#NUM!</v>
      </c>
      <c r="P602" s="305"/>
      <c r="Q602" s="303">
        <f t="shared" si="173"/>
        <v>0</v>
      </c>
      <c r="R602" s="304">
        <f t="shared" si="177"/>
        <v>-495</v>
      </c>
      <c r="S602" s="305" t="str">
        <f t="shared" si="184"/>
        <v/>
      </c>
      <c r="T602" s="305" t="str">
        <f t="shared" si="185"/>
        <v/>
      </c>
      <c r="U602" s="305" t="str">
        <f t="shared" si="186"/>
        <v/>
      </c>
      <c r="V602" s="305" t="str">
        <f t="shared" si="187"/>
        <v/>
      </c>
      <c r="W602" s="314" t="str">
        <f t="shared" si="188"/>
        <v/>
      </c>
      <c r="X602" s="314" t="str">
        <f t="shared" si="189"/>
        <v/>
      </c>
      <c r="Y602" s="326" t="str">
        <f t="shared" si="175"/>
        <v/>
      </c>
    </row>
    <row r="603" spans="7:25" x14ac:dyDescent="0.25">
      <c r="G603" s="303">
        <f t="shared" si="172"/>
        <v>0</v>
      </c>
      <c r="H603" s="304">
        <f t="shared" si="176"/>
        <v>596</v>
      </c>
      <c r="I603" s="305" t="str">
        <f t="shared" si="178"/>
        <v/>
      </c>
      <c r="J603" s="305" t="str">
        <f t="shared" si="179"/>
        <v/>
      </c>
      <c r="K603" s="305" t="str">
        <f t="shared" si="180"/>
        <v/>
      </c>
      <c r="L603" s="305" t="str">
        <f t="shared" si="181"/>
        <v/>
      </c>
      <c r="M603" s="314" t="str">
        <f t="shared" si="182"/>
        <v/>
      </c>
      <c r="N603" s="305" t="str">
        <f t="shared" si="183"/>
        <v/>
      </c>
      <c r="O603" s="327" t="e">
        <f t="shared" si="174"/>
        <v>#NUM!</v>
      </c>
      <c r="P603" s="305"/>
      <c r="Q603" s="303">
        <f t="shared" si="173"/>
        <v>0</v>
      </c>
      <c r="R603" s="304">
        <f t="shared" si="177"/>
        <v>-496</v>
      </c>
      <c r="S603" s="305" t="str">
        <f t="shared" si="184"/>
        <v/>
      </c>
      <c r="T603" s="305" t="str">
        <f t="shared" si="185"/>
        <v/>
      </c>
      <c r="U603" s="305" t="str">
        <f t="shared" si="186"/>
        <v/>
      </c>
      <c r="V603" s="305" t="str">
        <f t="shared" si="187"/>
        <v/>
      </c>
      <c r="W603" s="314" t="str">
        <f t="shared" si="188"/>
        <v/>
      </c>
      <c r="X603" s="314" t="str">
        <f t="shared" si="189"/>
        <v/>
      </c>
      <c r="Y603" s="326" t="str">
        <f t="shared" si="175"/>
        <v/>
      </c>
    </row>
    <row r="604" spans="7:25" x14ac:dyDescent="0.25">
      <c r="G604" s="303">
        <f t="shared" si="172"/>
        <v>0</v>
      </c>
      <c r="H604" s="304">
        <f t="shared" si="176"/>
        <v>597</v>
      </c>
      <c r="I604" s="305" t="str">
        <f t="shared" si="178"/>
        <v/>
      </c>
      <c r="J604" s="305" t="str">
        <f t="shared" si="179"/>
        <v/>
      </c>
      <c r="K604" s="305" t="str">
        <f t="shared" si="180"/>
        <v/>
      </c>
      <c r="L604" s="305" t="str">
        <f t="shared" si="181"/>
        <v/>
      </c>
      <c r="M604" s="314" t="str">
        <f t="shared" si="182"/>
        <v/>
      </c>
      <c r="N604" s="305" t="str">
        <f t="shared" si="183"/>
        <v/>
      </c>
      <c r="O604" s="327" t="e">
        <f t="shared" si="174"/>
        <v>#NUM!</v>
      </c>
      <c r="P604" s="305"/>
      <c r="Q604" s="303">
        <f t="shared" si="173"/>
        <v>0</v>
      </c>
      <c r="R604" s="304">
        <f t="shared" si="177"/>
        <v>-497</v>
      </c>
      <c r="S604" s="305" t="str">
        <f t="shared" si="184"/>
        <v/>
      </c>
      <c r="T604" s="305" t="str">
        <f t="shared" si="185"/>
        <v/>
      </c>
      <c r="U604" s="305" t="str">
        <f t="shared" si="186"/>
        <v/>
      </c>
      <c r="V604" s="305" t="str">
        <f t="shared" si="187"/>
        <v/>
      </c>
      <c r="W604" s="314" t="str">
        <f t="shared" si="188"/>
        <v/>
      </c>
      <c r="X604" s="314" t="str">
        <f t="shared" si="189"/>
        <v/>
      </c>
      <c r="Y604" s="326" t="str">
        <f t="shared" si="175"/>
        <v/>
      </c>
    </row>
    <row r="605" spans="7:25" x14ac:dyDescent="0.25">
      <c r="G605" s="303">
        <f t="shared" si="172"/>
        <v>0</v>
      </c>
      <c r="H605" s="304">
        <f t="shared" si="176"/>
        <v>598</v>
      </c>
      <c r="I605" s="305" t="str">
        <f t="shared" si="178"/>
        <v/>
      </c>
      <c r="J605" s="305" t="str">
        <f t="shared" si="179"/>
        <v/>
      </c>
      <c r="K605" s="305" t="str">
        <f t="shared" si="180"/>
        <v/>
      </c>
      <c r="L605" s="305" t="str">
        <f t="shared" si="181"/>
        <v/>
      </c>
      <c r="M605" s="314" t="str">
        <f t="shared" si="182"/>
        <v/>
      </c>
      <c r="N605" s="305" t="str">
        <f t="shared" si="183"/>
        <v/>
      </c>
      <c r="O605" s="327" t="e">
        <f t="shared" si="174"/>
        <v>#NUM!</v>
      </c>
      <c r="P605" s="305"/>
      <c r="Q605" s="303">
        <f t="shared" si="173"/>
        <v>0</v>
      </c>
      <c r="R605" s="304">
        <f t="shared" si="177"/>
        <v>-498</v>
      </c>
      <c r="S605" s="305" t="str">
        <f t="shared" si="184"/>
        <v/>
      </c>
      <c r="T605" s="305" t="str">
        <f t="shared" si="185"/>
        <v/>
      </c>
      <c r="U605" s="305" t="str">
        <f t="shared" si="186"/>
        <v/>
      </c>
      <c r="V605" s="305" t="str">
        <f t="shared" si="187"/>
        <v/>
      </c>
      <c r="W605" s="314" t="str">
        <f t="shared" si="188"/>
        <v/>
      </c>
      <c r="X605" s="314" t="str">
        <f t="shared" si="189"/>
        <v/>
      </c>
      <c r="Y605" s="326" t="str">
        <f t="shared" si="175"/>
        <v/>
      </c>
    </row>
    <row r="606" spans="7:25" x14ac:dyDescent="0.25">
      <c r="G606" s="303">
        <f t="shared" si="172"/>
        <v>0</v>
      </c>
      <c r="H606" s="304">
        <f t="shared" si="176"/>
        <v>599</v>
      </c>
      <c r="I606" s="305" t="str">
        <f t="shared" si="178"/>
        <v/>
      </c>
      <c r="J606" s="305" t="str">
        <f t="shared" si="179"/>
        <v/>
      </c>
      <c r="K606" s="305" t="str">
        <f t="shared" si="180"/>
        <v/>
      </c>
      <c r="L606" s="305" t="str">
        <f t="shared" si="181"/>
        <v/>
      </c>
      <c r="M606" s="314" t="str">
        <f t="shared" si="182"/>
        <v/>
      </c>
      <c r="N606" s="305" t="str">
        <f t="shared" si="183"/>
        <v/>
      </c>
      <c r="O606" s="327" t="e">
        <f t="shared" si="174"/>
        <v>#NUM!</v>
      </c>
      <c r="P606" s="305"/>
      <c r="Q606" s="303">
        <f t="shared" si="173"/>
        <v>0</v>
      </c>
      <c r="R606" s="304">
        <f t="shared" si="177"/>
        <v>-499</v>
      </c>
      <c r="S606" s="305" t="str">
        <f t="shared" si="184"/>
        <v/>
      </c>
      <c r="T606" s="305" t="str">
        <f t="shared" si="185"/>
        <v/>
      </c>
      <c r="U606" s="305" t="str">
        <f t="shared" si="186"/>
        <v/>
      </c>
      <c r="V606" s="305" t="str">
        <f t="shared" si="187"/>
        <v/>
      </c>
      <c r="W606" s="314" t="str">
        <f t="shared" si="188"/>
        <v/>
      </c>
      <c r="X606" s="314" t="str">
        <f t="shared" si="189"/>
        <v/>
      </c>
      <c r="Y606" s="326" t="str">
        <f t="shared" si="175"/>
        <v/>
      </c>
    </row>
    <row r="607" spans="7:25" x14ac:dyDescent="0.25">
      <c r="G607" s="303">
        <f t="shared" si="172"/>
        <v>0</v>
      </c>
      <c r="H607" s="304">
        <f t="shared" si="176"/>
        <v>600</v>
      </c>
      <c r="I607" s="305" t="str">
        <f t="shared" si="178"/>
        <v/>
      </c>
      <c r="J607" s="305" t="str">
        <f t="shared" si="179"/>
        <v/>
      </c>
      <c r="K607" s="305" t="str">
        <f t="shared" si="180"/>
        <v/>
      </c>
      <c r="L607" s="305" t="str">
        <f t="shared" si="181"/>
        <v/>
      </c>
      <c r="M607" s="314" t="str">
        <f t="shared" si="182"/>
        <v/>
      </c>
      <c r="N607" s="305" t="str">
        <f t="shared" si="183"/>
        <v/>
      </c>
      <c r="O607" s="327" t="e">
        <f t="shared" si="174"/>
        <v>#NUM!</v>
      </c>
      <c r="P607" s="305"/>
      <c r="Q607" s="303">
        <f t="shared" si="173"/>
        <v>0</v>
      </c>
      <c r="R607" s="304">
        <f t="shared" si="177"/>
        <v>-500</v>
      </c>
      <c r="S607" s="305" t="str">
        <f t="shared" si="184"/>
        <v/>
      </c>
      <c r="T607" s="305" t="str">
        <f t="shared" si="185"/>
        <v/>
      </c>
      <c r="U607" s="305" t="str">
        <f t="shared" si="186"/>
        <v/>
      </c>
      <c r="V607" s="305" t="str">
        <f t="shared" si="187"/>
        <v/>
      </c>
      <c r="W607" s="314" t="str">
        <f t="shared" si="188"/>
        <v/>
      </c>
      <c r="X607" s="314" t="str">
        <f t="shared" si="189"/>
        <v/>
      </c>
      <c r="Y607" s="326" t="str">
        <f t="shared" si="175"/>
        <v/>
      </c>
    </row>
    <row r="608" spans="7:25" x14ac:dyDescent="0.25">
      <c r="G608" s="303">
        <f t="shared" si="172"/>
        <v>0</v>
      </c>
      <c r="H608" s="304">
        <f t="shared" si="176"/>
        <v>601</v>
      </c>
      <c r="I608" s="305" t="str">
        <f t="shared" si="178"/>
        <v/>
      </c>
      <c r="J608" s="305" t="str">
        <f t="shared" si="179"/>
        <v/>
      </c>
      <c r="K608" s="305" t="str">
        <f t="shared" si="180"/>
        <v/>
      </c>
      <c r="L608" s="305" t="str">
        <f t="shared" si="181"/>
        <v/>
      </c>
      <c r="M608" s="314" t="str">
        <f t="shared" si="182"/>
        <v/>
      </c>
      <c r="N608" s="305" t="str">
        <f t="shared" si="183"/>
        <v/>
      </c>
      <c r="O608" s="327" t="e">
        <f t="shared" si="174"/>
        <v>#NUM!</v>
      </c>
      <c r="P608" s="305"/>
      <c r="Q608" s="303">
        <f t="shared" si="173"/>
        <v>0</v>
      </c>
      <c r="R608" s="304">
        <f t="shared" si="177"/>
        <v>-501</v>
      </c>
      <c r="S608" s="305" t="str">
        <f t="shared" si="184"/>
        <v/>
      </c>
      <c r="T608" s="305" t="str">
        <f t="shared" si="185"/>
        <v/>
      </c>
      <c r="U608" s="305" t="str">
        <f t="shared" si="186"/>
        <v/>
      </c>
      <c r="V608" s="305" t="str">
        <f t="shared" si="187"/>
        <v/>
      </c>
      <c r="W608" s="314" t="str">
        <f t="shared" si="188"/>
        <v/>
      </c>
      <c r="X608" s="314" t="str">
        <f t="shared" si="189"/>
        <v/>
      </c>
      <c r="Y608" s="326" t="str">
        <f t="shared" si="175"/>
        <v/>
      </c>
    </row>
    <row r="609" spans="7:25" x14ac:dyDescent="0.25">
      <c r="G609" s="303">
        <f t="shared" si="172"/>
        <v>0</v>
      </c>
      <c r="H609" s="304">
        <f t="shared" si="176"/>
        <v>602</v>
      </c>
      <c r="I609" s="305" t="str">
        <f t="shared" si="178"/>
        <v/>
      </c>
      <c r="J609" s="305" t="str">
        <f t="shared" si="179"/>
        <v/>
      </c>
      <c r="K609" s="305" t="str">
        <f t="shared" si="180"/>
        <v/>
      </c>
      <c r="L609" s="305" t="str">
        <f t="shared" si="181"/>
        <v/>
      </c>
      <c r="M609" s="314" t="str">
        <f t="shared" si="182"/>
        <v/>
      </c>
      <c r="N609" s="305" t="str">
        <f t="shared" si="183"/>
        <v/>
      </c>
      <c r="O609" s="327" t="e">
        <f t="shared" si="174"/>
        <v>#NUM!</v>
      </c>
      <c r="P609" s="305"/>
      <c r="Q609" s="303">
        <f t="shared" si="173"/>
        <v>0</v>
      </c>
      <c r="R609" s="304">
        <f t="shared" si="177"/>
        <v>-502</v>
      </c>
      <c r="S609" s="305" t="str">
        <f t="shared" si="184"/>
        <v/>
      </c>
      <c r="T609" s="305" t="str">
        <f t="shared" si="185"/>
        <v/>
      </c>
      <c r="U609" s="305" t="str">
        <f t="shared" si="186"/>
        <v/>
      </c>
      <c r="V609" s="305" t="str">
        <f t="shared" si="187"/>
        <v/>
      </c>
      <c r="W609" s="314" t="str">
        <f t="shared" si="188"/>
        <v/>
      </c>
      <c r="X609" s="314" t="str">
        <f t="shared" si="189"/>
        <v/>
      </c>
      <c r="Y609" s="326" t="str">
        <f t="shared" si="175"/>
        <v/>
      </c>
    </row>
    <row r="610" spans="7:25" x14ac:dyDescent="0.25">
      <c r="G610" s="303">
        <f t="shared" si="172"/>
        <v>0</v>
      </c>
      <c r="H610" s="304">
        <f t="shared" si="176"/>
        <v>603</v>
      </c>
      <c r="I610" s="305" t="str">
        <f t="shared" si="178"/>
        <v/>
      </c>
      <c r="J610" s="305" t="str">
        <f t="shared" si="179"/>
        <v/>
      </c>
      <c r="K610" s="305" t="str">
        <f t="shared" si="180"/>
        <v/>
      </c>
      <c r="L610" s="305" t="str">
        <f t="shared" si="181"/>
        <v/>
      </c>
      <c r="M610" s="314" t="str">
        <f t="shared" si="182"/>
        <v/>
      </c>
      <c r="N610" s="305" t="str">
        <f t="shared" si="183"/>
        <v/>
      </c>
      <c r="O610" s="327" t="e">
        <f t="shared" si="174"/>
        <v>#NUM!</v>
      </c>
      <c r="P610" s="305"/>
      <c r="Q610" s="303">
        <f t="shared" si="173"/>
        <v>0</v>
      </c>
      <c r="R610" s="304">
        <f t="shared" si="177"/>
        <v>-503</v>
      </c>
      <c r="S610" s="305" t="str">
        <f t="shared" si="184"/>
        <v/>
      </c>
      <c r="T610" s="305" t="str">
        <f t="shared" si="185"/>
        <v/>
      </c>
      <c r="U610" s="305" t="str">
        <f t="shared" si="186"/>
        <v/>
      </c>
      <c r="V610" s="305" t="str">
        <f t="shared" si="187"/>
        <v/>
      </c>
      <c r="W610" s="314" t="str">
        <f t="shared" si="188"/>
        <v/>
      </c>
      <c r="X610" s="314" t="str">
        <f t="shared" si="189"/>
        <v/>
      </c>
      <c r="Y610" s="326" t="str">
        <f t="shared" si="175"/>
        <v/>
      </c>
    </row>
    <row r="611" spans="7:25" x14ac:dyDescent="0.25">
      <c r="G611" s="303">
        <f t="shared" si="172"/>
        <v>0</v>
      </c>
      <c r="H611" s="304">
        <f t="shared" si="176"/>
        <v>604</v>
      </c>
      <c r="I611" s="305" t="str">
        <f t="shared" si="178"/>
        <v/>
      </c>
      <c r="J611" s="305" t="str">
        <f t="shared" si="179"/>
        <v/>
      </c>
      <c r="K611" s="305" t="str">
        <f t="shared" si="180"/>
        <v/>
      </c>
      <c r="L611" s="305" t="str">
        <f t="shared" si="181"/>
        <v/>
      </c>
      <c r="M611" s="314" t="str">
        <f t="shared" si="182"/>
        <v/>
      </c>
      <c r="N611" s="305" t="str">
        <f t="shared" si="183"/>
        <v/>
      </c>
      <c r="O611" s="327" t="e">
        <f t="shared" si="174"/>
        <v>#NUM!</v>
      </c>
      <c r="P611" s="305"/>
      <c r="Q611" s="303">
        <f t="shared" si="173"/>
        <v>0</v>
      </c>
      <c r="R611" s="304">
        <f t="shared" si="177"/>
        <v>-504</v>
      </c>
      <c r="S611" s="305" t="str">
        <f t="shared" si="184"/>
        <v/>
      </c>
      <c r="T611" s="305" t="str">
        <f t="shared" si="185"/>
        <v/>
      </c>
      <c r="U611" s="305" t="str">
        <f t="shared" si="186"/>
        <v/>
      </c>
      <c r="V611" s="305" t="str">
        <f t="shared" si="187"/>
        <v/>
      </c>
      <c r="W611" s="314" t="str">
        <f t="shared" si="188"/>
        <v/>
      </c>
      <c r="X611" s="314" t="str">
        <f t="shared" si="189"/>
        <v/>
      </c>
      <c r="Y611" s="326" t="str">
        <f t="shared" si="175"/>
        <v/>
      </c>
    </row>
    <row r="612" spans="7:25" x14ac:dyDescent="0.25">
      <c r="G612" s="303">
        <f t="shared" si="172"/>
        <v>0</v>
      </c>
      <c r="H612" s="304">
        <f t="shared" si="176"/>
        <v>605</v>
      </c>
      <c r="I612" s="305" t="str">
        <f t="shared" si="178"/>
        <v/>
      </c>
      <c r="J612" s="305" t="str">
        <f t="shared" si="179"/>
        <v/>
      </c>
      <c r="K612" s="305" t="str">
        <f t="shared" si="180"/>
        <v/>
      </c>
      <c r="L612" s="305" t="str">
        <f t="shared" si="181"/>
        <v/>
      </c>
      <c r="M612" s="314" t="str">
        <f t="shared" si="182"/>
        <v/>
      </c>
      <c r="N612" s="305" t="str">
        <f t="shared" si="183"/>
        <v/>
      </c>
      <c r="O612" s="327" t="e">
        <f t="shared" si="174"/>
        <v>#NUM!</v>
      </c>
      <c r="P612" s="305"/>
      <c r="Q612" s="303">
        <f t="shared" si="173"/>
        <v>0</v>
      </c>
      <c r="R612" s="304">
        <f t="shared" si="177"/>
        <v>-505</v>
      </c>
      <c r="S612" s="305" t="str">
        <f t="shared" si="184"/>
        <v/>
      </c>
      <c r="T612" s="305" t="str">
        <f t="shared" si="185"/>
        <v/>
      </c>
      <c r="U612" s="305" t="str">
        <f t="shared" si="186"/>
        <v/>
      </c>
      <c r="V612" s="305" t="str">
        <f t="shared" si="187"/>
        <v/>
      </c>
      <c r="W612" s="314" t="str">
        <f t="shared" si="188"/>
        <v/>
      </c>
      <c r="X612" s="314" t="str">
        <f t="shared" si="189"/>
        <v/>
      </c>
      <c r="Y612" s="326" t="str">
        <f t="shared" si="175"/>
        <v/>
      </c>
    </row>
    <row r="613" spans="7:25" x14ac:dyDescent="0.25">
      <c r="G613" s="303">
        <f t="shared" si="172"/>
        <v>0</v>
      </c>
      <c r="H613" s="304">
        <f t="shared" si="176"/>
        <v>606</v>
      </c>
      <c r="I613" s="305" t="str">
        <f t="shared" si="178"/>
        <v/>
      </c>
      <c r="J613" s="305" t="str">
        <f t="shared" si="179"/>
        <v/>
      </c>
      <c r="K613" s="305" t="str">
        <f t="shared" si="180"/>
        <v/>
      </c>
      <c r="L613" s="305" t="str">
        <f t="shared" si="181"/>
        <v/>
      </c>
      <c r="M613" s="314" t="str">
        <f t="shared" si="182"/>
        <v/>
      </c>
      <c r="N613" s="305" t="str">
        <f t="shared" si="183"/>
        <v/>
      </c>
      <c r="O613" s="327" t="e">
        <f t="shared" si="174"/>
        <v>#NUM!</v>
      </c>
      <c r="P613" s="305"/>
      <c r="Q613" s="303">
        <f t="shared" si="173"/>
        <v>0</v>
      </c>
      <c r="R613" s="304">
        <f t="shared" si="177"/>
        <v>-506</v>
      </c>
      <c r="S613" s="305" t="str">
        <f t="shared" si="184"/>
        <v/>
      </c>
      <c r="T613" s="305" t="str">
        <f t="shared" si="185"/>
        <v/>
      </c>
      <c r="U613" s="305" t="str">
        <f t="shared" si="186"/>
        <v/>
      </c>
      <c r="V613" s="305" t="str">
        <f t="shared" si="187"/>
        <v/>
      </c>
      <c r="W613" s="314" t="str">
        <f t="shared" si="188"/>
        <v/>
      </c>
      <c r="X613" s="314" t="str">
        <f t="shared" si="189"/>
        <v/>
      </c>
      <c r="Y613" s="326" t="str">
        <f t="shared" si="175"/>
        <v/>
      </c>
    </row>
    <row r="614" spans="7:25" x14ac:dyDescent="0.25">
      <c r="G614" s="303">
        <f t="shared" si="172"/>
        <v>0</v>
      </c>
      <c r="H614" s="304">
        <f t="shared" si="176"/>
        <v>607</v>
      </c>
      <c r="I614" s="305" t="str">
        <f t="shared" si="178"/>
        <v/>
      </c>
      <c r="J614" s="305" t="str">
        <f t="shared" si="179"/>
        <v/>
      </c>
      <c r="K614" s="305" t="str">
        <f t="shared" si="180"/>
        <v/>
      </c>
      <c r="L614" s="305" t="str">
        <f t="shared" si="181"/>
        <v/>
      </c>
      <c r="M614" s="314" t="str">
        <f t="shared" si="182"/>
        <v/>
      </c>
      <c r="N614" s="305" t="str">
        <f t="shared" si="183"/>
        <v/>
      </c>
      <c r="O614" s="327" t="e">
        <f t="shared" si="174"/>
        <v>#NUM!</v>
      </c>
      <c r="P614" s="305"/>
      <c r="Q614" s="303">
        <f t="shared" si="173"/>
        <v>0</v>
      </c>
      <c r="R614" s="304">
        <f t="shared" si="177"/>
        <v>-507</v>
      </c>
      <c r="S614" s="305" t="str">
        <f t="shared" si="184"/>
        <v/>
      </c>
      <c r="T614" s="305" t="str">
        <f t="shared" si="185"/>
        <v/>
      </c>
      <c r="U614" s="305" t="str">
        <f t="shared" si="186"/>
        <v/>
      </c>
      <c r="V614" s="305" t="str">
        <f t="shared" si="187"/>
        <v/>
      </c>
      <c r="W614" s="314" t="str">
        <f t="shared" si="188"/>
        <v/>
      </c>
      <c r="X614" s="314" t="str">
        <f t="shared" si="189"/>
        <v/>
      </c>
      <c r="Y614" s="326" t="str">
        <f t="shared" si="175"/>
        <v/>
      </c>
    </row>
    <row r="615" spans="7:25" x14ac:dyDescent="0.25">
      <c r="G615" s="303">
        <f t="shared" si="172"/>
        <v>0</v>
      </c>
      <c r="H615" s="304">
        <f t="shared" si="176"/>
        <v>608</v>
      </c>
      <c r="I615" s="305" t="str">
        <f t="shared" si="178"/>
        <v/>
      </c>
      <c r="J615" s="305" t="str">
        <f t="shared" si="179"/>
        <v/>
      </c>
      <c r="K615" s="305" t="str">
        <f t="shared" si="180"/>
        <v/>
      </c>
      <c r="L615" s="305" t="str">
        <f t="shared" si="181"/>
        <v/>
      </c>
      <c r="M615" s="314" t="str">
        <f t="shared" si="182"/>
        <v/>
      </c>
      <c r="N615" s="305" t="str">
        <f t="shared" si="183"/>
        <v/>
      </c>
      <c r="O615" s="327" t="e">
        <f t="shared" si="174"/>
        <v>#NUM!</v>
      </c>
      <c r="P615" s="305"/>
      <c r="Q615" s="303">
        <f t="shared" si="173"/>
        <v>0</v>
      </c>
      <c r="R615" s="304">
        <f t="shared" si="177"/>
        <v>-508</v>
      </c>
      <c r="S615" s="305" t="str">
        <f t="shared" si="184"/>
        <v/>
      </c>
      <c r="T615" s="305" t="str">
        <f t="shared" si="185"/>
        <v/>
      </c>
      <c r="U615" s="305" t="str">
        <f t="shared" si="186"/>
        <v/>
      </c>
      <c r="V615" s="305" t="str">
        <f t="shared" si="187"/>
        <v/>
      </c>
      <c r="W615" s="314" t="str">
        <f t="shared" si="188"/>
        <v/>
      </c>
      <c r="X615" s="314" t="str">
        <f t="shared" si="189"/>
        <v/>
      </c>
      <c r="Y615" s="326" t="str">
        <f t="shared" si="175"/>
        <v/>
      </c>
    </row>
    <row r="616" spans="7:25" x14ac:dyDescent="0.25">
      <c r="G616" s="303">
        <f t="shared" si="172"/>
        <v>0</v>
      </c>
      <c r="H616" s="304">
        <f t="shared" si="176"/>
        <v>609</v>
      </c>
      <c r="I616" s="305" t="str">
        <f t="shared" si="178"/>
        <v/>
      </c>
      <c r="J616" s="305" t="str">
        <f t="shared" si="179"/>
        <v/>
      </c>
      <c r="K616" s="305" t="str">
        <f t="shared" si="180"/>
        <v/>
      </c>
      <c r="L616" s="305" t="str">
        <f t="shared" si="181"/>
        <v/>
      </c>
      <c r="M616" s="314" t="str">
        <f t="shared" si="182"/>
        <v/>
      </c>
      <c r="N616" s="305" t="str">
        <f t="shared" si="183"/>
        <v/>
      </c>
      <c r="O616" s="327" t="e">
        <f t="shared" si="174"/>
        <v>#NUM!</v>
      </c>
      <c r="P616" s="305"/>
      <c r="Q616" s="303">
        <f t="shared" si="173"/>
        <v>0</v>
      </c>
      <c r="R616" s="304">
        <f t="shared" si="177"/>
        <v>-509</v>
      </c>
      <c r="S616" s="305" t="str">
        <f t="shared" si="184"/>
        <v/>
      </c>
      <c r="T616" s="305" t="str">
        <f t="shared" si="185"/>
        <v/>
      </c>
      <c r="U616" s="305" t="str">
        <f t="shared" si="186"/>
        <v/>
      </c>
      <c r="V616" s="305" t="str">
        <f t="shared" si="187"/>
        <v/>
      </c>
      <c r="W616" s="314" t="str">
        <f t="shared" si="188"/>
        <v/>
      </c>
      <c r="X616" s="314" t="str">
        <f t="shared" si="189"/>
        <v/>
      </c>
      <c r="Y616" s="326" t="str">
        <f t="shared" si="175"/>
        <v/>
      </c>
    </row>
    <row r="617" spans="7:25" x14ac:dyDescent="0.25">
      <c r="G617" s="303">
        <f t="shared" si="172"/>
        <v>0</v>
      </c>
      <c r="H617" s="304">
        <f t="shared" si="176"/>
        <v>610</v>
      </c>
      <c r="I617" s="305" t="str">
        <f t="shared" si="178"/>
        <v/>
      </c>
      <c r="J617" s="305" t="str">
        <f t="shared" si="179"/>
        <v/>
      </c>
      <c r="K617" s="305" t="str">
        <f t="shared" si="180"/>
        <v/>
      </c>
      <c r="L617" s="305" t="str">
        <f t="shared" si="181"/>
        <v/>
      </c>
      <c r="M617" s="314" t="str">
        <f t="shared" si="182"/>
        <v/>
      </c>
      <c r="N617" s="305" t="str">
        <f t="shared" si="183"/>
        <v/>
      </c>
      <c r="O617" s="327" t="e">
        <f t="shared" si="174"/>
        <v>#NUM!</v>
      </c>
      <c r="P617" s="305"/>
      <c r="Q617" s="303">
        <f t="shared" si="173"/>
        <v>0</v>
      </c>
      <c r="R617" s="304">
        <f t="shared" si="177"/>
        <v>-510</v>
      </c>
      <c r="S617" s="305" t="str">
        <f t="shared" si="184"/>
        <v/>
      </c>
      <c r="T617" s="305" t="str">
        <f t="shared" si="185"/>
        <v/>
      </c>
      <c r="U617" s="305" t="str">
        <f t="shared" si="186"/>
        <v/>
      </c>
      <c r="V617" s="305" t="str">
        <f t="shared" si="187"/>
        <v/>
      </c>
      <c r="W617" s="314" t="str">
        <f t="shared" si="188"/>
        <v/>
      </c>
      <c r="X617" s="314" t="str">
        <f t="shared" si="189"/>
        <v/>
      </c>
      <c r="Y617" s="326" t="str">
        <f t="shared" si="175"/>
        <v/>
      </c>
    </row>
    <row r="618" spans="7:25" x14ac:dyDescent="0.25">
      <c r="G618" s="303">
        <f t="shared" si="172"/>
        <v>0</v>
      </c>
      <c r="H618" s="304">
        <f t="shared" si="176"/>
        <v>611</v>
      </c>
      <c r="I618" s="305" t="str">
        <f t="shared" si="178"/>
        <v/>
      </c>
      <c r="J618" s="305" t="str">
        <f t="shared" si="179"/>
        <v/>
      </c>
      <c r="K618" s="305" t="str">
        <f t="shared" si="180"/>
        <v/>
      </c>
      <c r="L618" s="305" t="str">
        <f t="shared" si="181"/>
        <v/>
      </c>
      <c r="M618" s="314" t="str">
        <f t="shared" si="182"/>
        <v/>
      </c>
      <c r="N618" s="305" t="str">
        <f t="shared" si="183"/>
        <v/>
      </c>
      <c r="O618" s="327" t="e">
        <f t="shared" si="174"/>
        <v>#NUM!</v>
      </c>
      <c r="P618" s="305"/>
      <c r="Q618" s="303">
        <f t="shared" si="173"/>
        <v>0</v>
      </c>
      <c r="R618" s="304">
        <f t="shared" si="177"/>
        <v>-511</v>
      </c>
      <c r="S618" s="305" t="str">
        <f t="shared" si="184"/>
        <v/>
      </c>
      <c r="T618" s="305" t="str">
        <f t="shared" si="185"/>
        <v/>
      </c>
      <c r="U618" s="305" t="str">
        <f t="shared" si="186"/>
        <v/>
      </c>
      <c r="V618" s="305" t="str">
        <f t="shared" si="187"/>
        <v/>
      </c>
      <c r="W618" s="314" t="str">
        <f t="shared" si="188"/>
        <v/>
      </c>
      <c r="X618" s="314" t="str">
        <f t="shared" si="189"/>
        <v/>
      </c>
      <c r="Y618" s="326" t="str">
        <f t="shared" si="175"/>
        <v/>
      </c>
    </row>
    <row r="619" spans="7:25" x14ac:dyDescent="0.25">
      <c r="G619" s="303">
        <f t="shared" si="172"/>
        <v>0</v>
      </c>
      <c r="H619" s="304">
        <f t="shared" si="176"/>
        <v>612</v>
      </c>
      <c r="I619" s="305" t="str">
        <f t="shared" si="178"/>
        <v/>
      </c>
      <c r="J619" s="305" t="str">
        <f t="shared" si="179"/>
        <v/>
      </c>
      <c r="K619" s="305" t="str">
        <f t="shared" si="180"/>
        <v/>
      </c>
      <c r="L619" s="305" t="str">
        <f t="shared" si="181"/>
        <v/>
      </c>
      <c r="M619" s="314" t="str">
        <f t="shared" si="182"/>
        <v/>
      </c>
      <c r="N619" s="305" t="str">
        <f t="shared" si="183"/>
        <v/>
      </c>
      <c r="O619" s="327" t="e">
        <f t="shared" si="174"/>
        <v>#NUM!</v>
      </c>
      <c r="P619" s="305"/>
      <c r="Q619" s="303">
        <f t="shared" si="173"/>
        <v>0</v>
      </c>
      <c r="R619" s="304">
        <f t="shared" si="177"/>
        <v>-512</v>
      </c>
      <c r="S619" s="305" t="str">
        <f t="shared" si="184"/>
        <v/>
      </c>
      <c r="T619" s="305" t="str">
        <f t="shared" si="185"/>
        <v/>
      </c>
      <c r="U619" s="305" t="str">
        <f t="shared" si="186"/>
        <v/>
      </c>
      <c r="V619" s="305" t="str">
        <f t="shared" si="187"/>
        <v/>
      </c>
      <c r="W619" s="314" t="str">
        <f t="shared" si="188"/>
        <v/>
      </c>
      <c r="X619" s="314" t="str">
        <f t="shared" si="189"/>
        <v/>
      </c>
      <c r="Y619" s="326" t="str">
        <f t="shared" si="175"/>
        <v/>
      </c>
    </row>
    <row r="620" spans="7:25" x14ac:dyDescent="0.25">
      <c r="G620" s="303">
        <f t="shared" si="172"/>
        <v>0</v>
      </c>
      <c r="H620" s="304">
        <f t="shared" si="176"/>
        <v>613</v>
      </c>
      <c r="I620" s="305" t="str">
        <f t="shared" si="178"/>
        <v/>
      </c>
      <c r="J620" s="305" t="str">
        <f t="shared" si="179"/>
        <v/>
      </c>
      <c r="K620" s="305" t="str">
        <f t="shared" si="180"/>
        <v/>
      </c>
      <c r="L620" s="305" t="str">
        <f t="shared" si="181"/>
        <v/>
      </c>
      <c r="M620" s="314" t="str">
        <f t="shared" si="182"/>
        <v/>
      </c>
      <c r="N620" s="305" t="str">
        <f t="shared" si="183"/>
        <v/>
      </c>
      <c r="O620" s="327" t="e">
        <f t="shared" si="174"/>
        <v>#NUM!</v>
      </c>
      <c r="P620" s="305"/>
      <c r="Q620" s="303">
        <f t="shared" si="173"/>
        <v>0</v>
      </c>
      <c r="R620" s="304">
        <f t="shared" si="177"/>
        <v>-513</v>
      </c>
      <c r="S620" s="305" t="str">
        <f t="shared" si="184"/>
        <v/>
      </c>
      <c r="T620" s="305" t="str">
        <f t="shared" si="185"/>
        <v/>
      </c>
      <c r="U620" s="305" t="str">
        <f t="shared" si="186"/>
        <v/>
      </c>
      <c r="V620" s="305" t="str">
        <f t="shared" si="187"/>
        <v/>
      </c>
      <c r="W620" s="314" t="str">
        <f t="shared" si="188"/>
        <v/>
      </c>
      <c r="X620" s="314" t="str">
        <f t="shared" si="189"/>
        <v/>
      </c>
      <c r="Y620" s="326" t="str">
        <f t="shared" si="175"/>
        <v/>
      </c>
    </row>
    <row r="621" spans="7:25" x14ac:dyDescent="0.25">
      <c r="G621" s="303">
        <f t="shared" si="172"/>
        <v>0</v>
      </c>
      <c r="H621" s="304">
        <f t="shared" si="176"/>
        <v>614</v>
      </c>
      <c r="I621" s="305" t="str">
        <f t="shared" si="178"/>
        <v/>
      </c>
      <c r="J621" s="305" t="str">
        <f t="shared" si="179"/>
        <v/>
      </c>
      <c r="K621" s="305" t="str">
        <f t="shared" si="180"/>
        <v/>
      </c>
      <c r="L621" s="305" t="str">
        <f t="shared" si="181"/>
        <v/>
      </c>
      <c r="M621" s="314" t="str">
        <f t="shared" si="182"/>
        <v/>
      </c>
      <c r="N621" s="305" t="str">
        <f t="shared" si="183"/>
        <v/>
      </c>
      <c r="O621" s="327" t="e">
        <f t="shared" si="174"/>
        <v>#NUM!</v>
      </c>
      <c r="P621" s="305"/>
      <c r="Q621" s="303">
        <f t="shared" si="173"/>
        <v>0</v>
      </c>
      <c r="R621" s="304">
        <f t="shared" si="177"/>
        <v>-514</v>
      </c>
      <c r="S621" s="305" t="str">
        <f t="shared" si="184"/>
        <v/>
      </c>
      <c r="T621" s="305" t="str">
        <f t="shared" si="185"/>
        <v/>
      </c>
      <c r="U621" s="305" t="str">
        <f t="shared" si="186"/>
        <v/>
      </c>
      <c r="V621" s="305" t="str">
        <f t="shared" si="187"/>
        <v/>
      </c>
      <c r="W621" s="314" t="str">
        <f t="shared" si="188"/>
        <v/>
      </c>
      <c r="X621" s="314" t="str">
        <f t="shared" si="189"/>
        <v/>
      </c>
      <c r="Y621" s="326" t="str">
        <f t="shared" si="175"/>
        <v/>
      </c>
    </row>
    <row r="622" spans="7:25" x14ac:dyDescent="0.25">
      <c r="G622" s="303">
        <f t="shared" si="172"/>
        <v>0</v>
      </c>
      <c r="H622" s="304">
        <f t="shared" si="176"/>
        <v>615</v>
      </c>
      <c r="I622" s="305" t="str">
        <f t="shared" si="178"/>
        <v/>
      </c>
      <c r="J622" s="305" t="str">
        <f t="shared" si="179"/>
        <v/>
      </c>
      <c r="K622" s="305" t="str">
        <f t="shared" si="180"/>
        <v/>
      </c>
      <c r="L622" s="305" t="str">
        <f t="shared" si="181"/>
        <v/>
      </c>
      <c r="M622" s="314" t="str">
        <f t="shared" si="182"/>
        <v/>
      </c>
      <c r="N622" s="305" t="str">
        <f t="shared" si="183"/>
        <v/>
      </c>
      <c r="O622" s="327" t="e">
        <f t="shared" si="174"/>
        <v>#NUM!</v>
      </c>
      <c r="P622" s="305"/>
      <c r="Q622" s="303">
        <f t="shared" si="173"/>
        <v>0</v>
      </c>
      <c r="R622" s="304">
        <f t="shared" si="177"/>
        <v>-515</v>
      </c>
      <c r="S622" s="305" t="str">
        <f t="shared" si="184"/>
        <v/>
      </c>
      <c r="T622" s="305" t="str">
        <f t="shared" si="185"/>
        <v/>
      </c>
      <c r="U622" s="305" t="str">
        <f t="shared" si="186"/>
        <v/>
      </c>
      <c r="V622" s="305" t="str">
        <f t="shared" si="187"/>
        <v/>
      </c>
      <c r="W622" s="314" t="str">
        <f t="shared" si="188"/>
        <v/>
      </c>
      <c r="X622" s="314" t="str">
        <f t="shared" si="189"/>
        <v/>
      </c>
      <c r="Y622" s="326" t="str">
        <f t="shared" si="175"/>
        <v/>
      </c>
    </row>
    <row r="623" spans="7:25" x14ac:dyDescent="0.25">
      <c r="G623" s="303">
        <f t="shared" si="172"/>
        <v>0</v>
      </c>
      <c r="H623" s="304">
        <f t="shared" si="176"/>
        <v>616</v>
      </c>
      <c r="I623" s="305" t="str">
        <f t="shared" si="178"/>
        <v/>
      </c>
      <c r="J623" s="305" t="str">
        <f t="shared" si="179"/>
        <v/>
      </c>
      <c r="K623" s="305" t="str">
        <f t="shared" si="180"/>
        <v/>
      </c>
      <c r="L623" s="305" t="str">
        <f t="shared" si="181"/>
        <v/>
      </c>
      <c r="M623" s="314" t="str">
        <f t="shared" si="182"/>
        <v/>
      </c>
      <c r="N623" s="305" t="str">
        <f t="shared" si="183"/>
        <v/>
      </c>
      <c r="O623" s="327" t="e">
        <f t="shared" si="174"/>
        <v>#NUM!</v>
      </c>
      <c r="P623" s="305"/>
      <c r="Q623" s="303">
        <f t="shared" si="173"/>
        <v>0</v>
      </c>
      <c r="R623" s="304">
        <f t="shared" si="177"/>
        <v>-516</v>
      </c>
      <c r="S623" s="305" t="str">
        <f t="shared" si="184"/>
        <v/>
      </c>
      <c r="T623" s="305" t="str">
        <f t="shared" si="185"/>
        <v/>
      </c>
      <c r="U623" s="305" t="str">
        <f t="shared" si="186"/>
        <v/>
      </c>
      <c r="V623" s="305" t="str">
        <f t="shared" si="187"/>
        <v/>
      </c>
      <c r="W623" s="314" t="str">
        <f t="shared" si="188"/>
        <v/>
      </c>
      <c r="X623" s="314" t="str">
        <f t="shared" si="189"/>
        <v/>
      </c>
      <c r="Y623" s="326" t="str">
        <f t="shared" si="175"/>
        <v/>
      </c>
    </row>
    <row r="624" spans="7:25" x14ac:dyDescent="0.25">
      <c r="G624" s="303">
        <f t="shared" si="172"/>
        <v>0</v>
      </c>
      <c r="H624" s="304">
        <f t="shared" si="176"/>
        <v>617</v>
      </c>
      <c r="I624" s="305" t="str">
        <f t="shared" si="178"/>
        <v/>
      </c>
      <c r="J624" s="305" t="str">
        <f t="shared" si="179"/>
        <v/>
      </c>
      <c r="K624" s="305" t="str">
        <f t="shared" si="180"/>
        <v/>
      </c>
      <c r="L624" s="305" t="str">
        <f t="shared" si="181"/>
        <v/>
      </c>
      <c r="M624" s="314" t="str">
        <f t="shared" si="182"/>
        <v/>
      </c>
      <c r="N624" s="305" t="str">
        <f t="shared" si="183"/>
        <v/>
      </c>
      <c r="O624" s="327" t="e">
        <f t="shared" si="174"/>
        <v>#NUM!</v>
      </c>
      <c r="P624" s="305"/>
      <c r="Q624" s="303">
        <f t="shared" si="173"/>
        <v>0</v>
      </c>
      <c r="R624" s="304">
        <f t="shared" si="177"/>
        <v>-517</v>
      </c>
      <c r="S624" s="305" t="str">
        <f t="shared" si="184"/>
        <v/>
      </c>
      <c r="T624" s="305" t="str">
        <f t="shared" si="185"/>
        <v/>
      </c>
      <c r="U624" s="305" t="str">
        <f t="shared" si="186"/>
        <v/>
      </c>
      <c r="V624" s="305" t="str">
        <f t="shared" si="187"/>
        <v/>
      </c>
      <c r="W624" s="314" t="str">
        <f t="shared" si="188"/>
        <v/>
      </c>
      <c r="X624" s="314" t="str">
        <f t="shared" si="189"/>
        <v/>
      </c>
      <c r="Y624" s="326" t="str">
        <f t="shared" si="175"/>
        <v/>
      </c>
    </row>
    <row r="625" spans="7:25" x14ac:dyDescent="0.25">
      <c r="G625" s="303">
        <f t="shared" si="172"/>
        <v>0</v>
      </c>
      <c r="H625" s="304">
        <f t="shared" si="176"/>
        <v>618</v>
      </c>
      <c r="I625" s="305" t="str">
        <f t="shared" si="178"/>
        <v/>
      </c>
      <c r="J625" s="305" t="str">
        <f t="shared" si="179"/>
        <v/>
      </c>
      <c r="K625" s="305" t="str">
        <f t="shared" si="180"/>
        <v/>
      </c>
      <c r="L625" s="305" t="str">
        <f t="shared" si="181"/>
        <v/>
      </c>
      <c r="M625" s="314" t="str">
        <f t="shared" si="182"/>
        <v/>
      </c>
      <c r="N625" s="305" t="str">
        <f t="shared" si="183"/>
        <v/>
      </c>
      <c r="O625" s="327" t="e">
        <f t="shared" si="174"/>
        <v>#NUM!</v>
      </c>
      <c r="P625" s="305"/>
      <c r="Q625" s="303">
        <f t="shared" si="173"/>
        <v>0</v>
      </c>
      <c r="R625" s="304">
        <f t="shared" si="177"/>
        <v>-518</v>
      </c>
      <c r="S625" s="305" t="str">
        <f t="shared" si="184"/>
        <v/>
      </c>
      <c r="T625" s="305" t="str">
        <f t="shared" si="185"/>
        <v/>
      </c>
      <c r="U625" s="305" t="str">
        <f t="shared" si="186"/>
        <v/>
      </c>
      <c r="V625" s="305" t="str">
        <f t="shared" si="187"/>
        <v/>
      </c>
      <c r="W625" s="314" t="str">
        <f t="shared" si="188"/>
        <v/>
      </c>
      <c r="X625" s="314" t="str">
        <f t="shared" si="189"/>
        <v/>
      </c>
      <c r="Y625" s="326" t="str">
        <f t="shared" si="175"/>
        <v/>
      </c>
    </row>
    <row r="626" spans="7:25" x14ac:dyDescent="0.25">
      <c r="G626" s="303">
        <f t="shared" si="172"/>
        <v>0</v>
      </c>
      <c r="H626" s="304">
        <f t="shared" si="176"/>
        <v>619</v>
      </c>
      <c r="I626" s="305" t="str">
        <f t="shared" si="178"/>
        <v/>
      </c>
      <c r="J626" s="305" t="str">
        <f t="shared" si="179"/>
        <v/>
      </c>
      <c r="K626" s="305" t="str">
        <f t="shared" si="180"/>
        <v/>
      </c>
      <c r="L626" s="305" t="str">
        <f t="shared" si="181"/>
        <v/>
      </c>
      <c r="M626" s="314" t="str">
        <f t="shared" si="182"/>
        <v/>
      </c>
      <c r="N626" s="305" t="str">
        <f t="shared" si="183"/>
        <v/>
      </c>
      <c r="O626" s="327" t="e">
        <f t="shared" si="174"/>
        <v>#NUM!</v>
      </c>
      <c r="P626" s="305"/>
      <c r="Q626" s="303">
        <f t="shared" si="173"/>
        <v>0</v>
      </c>
      <c r="R626" s="304">
        <f t="shared" si="177"/>
        <v>-519</v>
      </c>
      <c r="S626" s="305" t="str">
        <f t="shared" si="184"/>
        <v/>
      </c>
      <c r="T626" s="305" t="str">
        <f t="shared" si="185"/>
        <v/>
      </c>
      <c r="U626" s="305" t="str">
        <f t="shared" si="186"/>
        <v/>
      </c>
      <c r="V626" s="305" t="str">
        <f t="shared" si="187"/>
        <v/>
      </c>
      <c r="W626" s="314" t="str">
        <f t="shared" si="188"/>
        <v/>
      </c>
      <c r="X626" s="314" t="str">
        <f t="shared" si="189"/>
        <v/>
      </c>
      <c r="Y626" s="326" t="str">
        <f t="shared" si="175"/>
        <v/>
      </c>
    </row>
    <row r="627" spans="7:25" x14ac:dyDescent="0.25">
      <c r="G627" s="303">
        <f t="shared" si="172"/>
        <v>0</v>
      </c>
      <c r="H627" s="304">
        <f t="shared" si="176"/>
        <v>620</v>
      </c>
      <c r="I627" s="305" t="str">
        <f t="shared" si="178"/>
        <v/>
      </c>
      <c r="J627" s="305" t="str">
        <f t="shared" si="179"/>
        <v/>
      </c>
      <c r="K627" s="305" t="str">
        <f t="shared" si="180"/>
        <v/>
      </c>
      <c r="L627" s="305" t="str">
        <f t="shared" si="181"/>
        <v/>
      </c>
      <c r="M627" s="314" t="str">
        <f t="shared" si="182"/>
        <v/>
      </c>
      <c r="N627" s="305" t="str">
        <f t="shared" si="183"/>
        <v/>
      </c>
      <c r="O627" s="327" t="e">
        <f t="shared" si="174"/>
        <v>#NUM!</v>
      </c>
      <c r="P627" s="305"/>
      <c r="Q627" s="303">
        <f t="shared" si="173"/>
        <v>0</v>
      </c>
      <c r="R627" s="304">
        <f t="shared" si="177"/>
        <v>-520</v>
      </c>
      <c r="S627" s="305" t="str">
        <f t="shared" si="184"/>
        <v/>
      </c>
      <c r="T627" s="305" t="str">
        <f t="shared" si="185"/>
        <v/>
      </c>
      <c r="U627" s="305" t="str">
        <f t="shared" si="186"/>
        <v/>
      </c>
      <c r="V627" s="305" t="str">
        <f t="shared" si="187"/>
        <v/>
      </c>
      <c r="W627" s="314" t="str">
        <f t="shared" si="188"/>
        <v/>
      </c>
      <c r="X627" s="314" t="str">
        <f t="shared" si="189"/>
        <v/>
      </c>
      <c r="Y627" s="326" t="str">
        <f t="shared" si="175"/>
        <v/>
      </c>
    </row>
    <row r="628" spans="7:25" x14ac:dyDescent="0.25">
      <c r="G628" s="303">
        <f t="shared" si="172"/>
        <v>0</v>
      </c>
      <c r="H628" s="304">
        <f t="shared" si="176"/>
        <v>621</v>
      </c>
      <c r="I628" s="305" t="str">
        <f t="shared" si="178"/>
        <v/>
      </c>
      <c r="J628" s="305" t="str">
        <f t="shared" si="179"/>
        <v/>
      </c>
      <c r="K628" s="305" t="str">
        <f t="shared" si="180"/>
        <v/>
      </c>
      <c r="L628" s="305" t="str">
        <f t="shared" si="181"/>
        <v/>
      </c>
      <c r="M628" s="314" t="str">
        <f t="shared" si="182"/>
        <v/>
      </c>
      <c r="N628" s="305" t="str">
        <f t="shared" si="183"/>
        <v/>
      </c>
      <c r="O628" s="327" t="e">
        <f t="shared" si="174"/>
        <v>#NUM!</v>
      </c>
      <c r="P628" s="305"/>
      <c r="Q628" s="303">
        <f t="shared" si="173"/>
        <v>0</v>
      </c>
      <c r="R628" s="304">
        <f t="shared" si="177"/>
        <v>-521</v>
      </c>
      <c r="S628" s="305" t="str">
        <f t="shared" si="184"/>
        <v/>
      </c>
      <c r="T628" s="305" t="str">
        <f t="shared" si="185"/>
        <v/>
      </c>
      <c r="U628" s="305" t="str">
        <f t="shared" si="186"/>
        <v/>
      </c>
      <c r="V628" s="305" t="str">
        <f t="shared" si="187"/>
        <v/>
      </c>
      <c r="W628" s="314" t="str">
        <f t="shared" si="188"/>
        <v/>
      </c>
      <c r="X628" s="314" t="str">
        <f t="shared" si="189"/>
        <v/>
      </c>
      <c r="Y628" s="326" t="str">
        <f t="shared" si="175"/>
        <v/>
      </c>
    </row>
    <row r="629" spans="7:25" x14ac:dyDescent="0.25">
      <c r="G629" s="303">
        <f t="shared" si="172"/>
        <v>0</v>
      </c>
      <c r="H629" s="304">
        <f t="shared" si="176"/>
        <v>622</v>
      </c>
      <c r="I629" s="305" t="str">
        <f t="shared" si="178"/>
        <v/>
      </c>
      <c r="J629" s="305" t="str">
        <f t="shared" si="179"/>
        <v/>
      </c>
      <c r="K629" s="305" t="str">
        <f t="shared" si="180"/>
        <v/>
      </c>
      <c r="L629" s="305" t="str">
        <f t="shared" si="181"/>
        <v/>
      </c>
      <c r="M629" s="314" t="str">
        <f t="shared" si="182"/>
        <v/>
      </c>
      <c r="N629" s="305" t="str">
        <f t="shared" si="183"/>
        <v/>
      </c>
      <c r="O629" s="327" t="e">
        <f t="shared" si="174"/>
        <v>#NUM!</v>
      </c>
      <c r="P629" s="305"/>
      <c r="Q629" s="303">
        <f t="shared" si="173"/>
        <v>0</v>
      </c>
      <c r="R629" s="304">
        <f t="shared" si="177"/>
        <v>-522</v>
      </c>
      <c r="S629" s="305" t="str">
        <f t="shared" si="184"/>
        <v/>
      </c>
      <c r="T629" s="305" t="str">
        <f t="shared" si="185"/>
        <v/>
      </c>
      <c r="U629" s="305" t="str">
        <f t="shared" si="186"/>
        <v/>
      </c>
      <c r="V629" s="305" t="str">
        <f t="shared" si="187"/>
        <v/>
      </c>
      <c r="W629" s="314" t="str">
        <f t="shared" si="188"/>
        <v/>
      </c>
      <c r="X629" s="314" t="str">
        <f t="shared" si="189"/>
        <v/>
      </c>
      <c r="Y629" s="326" t="str">
        <f t="shared" si="175"/>
        <v/>
      </c>
    </row>
    <row r="630" spans="7:25" x14ac:dyDescent="0.25">
      <c r="G630" s="303">
        <f t="shared" si="172"/>
        <v>0</v>
      </c>
      <c r="H630" s="304">
        <f t="shared" si="176"/>
        <v>623</v>
      </c>
      <c r="I630" s="305" t="str">
        <f t="shared" si="178"/>
        <v/>
      </c>
      <c r="J630" s="305" t="str">
        <f t="shared" si="179"/>
        <v/>
      </c>
      <c r="K630" s="305" t="str">
        <f t="shared" si="180"/>
        <v/>
      </c>
      <c r="L630" s="305" t="str">
        <f t="shared" si="181"/>
        <v/>
      </c>
      <c r="M630" s="314" t="str">
        <f t="shared" si="182"/>
        <v/>
      </c>
      <c r="N630" s="305" t="str">
        <f t="shared" si="183"/>
        <v/>
      </c>
      <c r="O630" s="327" t="e">
        <f t="shared" si="174"/>
        <v>#NUM!</v>
      </c>
      <c r="P630" s="305"/>
      <c r="Q630" s="303">
        <f t="shared" si="173"/>
        <v>0</v>
      </c>
      <c r="R630" s="304">
        <f t="shared" si="177"/>
        <v>-523</v>
      </c>
      <c r="S630" s="305" t="str">
        <f t="shared" si="184"/>
        <v/>
      </c>
      <c r="T630" s="305" t="str">
        <f t="shared" si="185"/>
        <v/>
      </c>
      <c r="U630" s="305" t="str">
        <f t="shared" si="186"/>
        <v/>
      </c>
      <c r="V630" s="305" t="str">
        <f t="shared" si="187"/>
        <v/>
      </c>
      <c r="W630" s="314" t="str">
        <f t="shared" si="188"/>
        <v/>
      </c>
      <c r="X630" s="314" t="str">
        <f t="shared" si="189"/>
        <v/>
      </c>
      <c r="Y630" s="326" t="str">
        <f t="shared" si="175"/>
        <v/>
      </c>
    </row>
    <row r="631" spans="7:25" x14ac:dyDescent="0.25">
      <c r="G631" s="303">
        <f t="shared" si="172"/>
        <v>0</v>
      </c>
      <c r="H631" s="304">
        <f t="shared" si="176"/>
        <v>624</v>
      </c>
      <c r="I631" s="305" t="str">
        <f t="shared" si="178"/>
        <v/>
      </c>
      <c r="J631" s="305" t="str">
        <f t="shared" si="179"/>
        <v/>
      </c>
      <c r="K631" s="305" t="str">
        <f t="shared" si="180"/>
        <v/>
      </c>
      <c r="L631" s="305" t="str">
        <f t="shared" si="181"/>
        <v/>
      </c>
      <c r="M631" s="314" t="str">
        <f t="shared" si="182"/>
        <v/>
      </c>
      <c r="N631" s="305" t="str">
        <f t="shared" si="183"/>
        <v/>
      </c>
      <c r="O631" s="327" t="e">
        <f t="shared" si="174"/>
        <v>#NUM!</v>
      </c>
      <c r="P631" s="305"/>
      <c r="Q631" s="303">
        <f t="shared" si="173"/>
        <v>0</v>
      </c>
      <c r="R631" s="304">
        <f t="shared" si="177"/>
        <v>-524</v>
      </c>
      <c r="S631" s="305" t="str">
        <f t="shared" si="184"/>
        <v/>
      </c>
      <c r="T631" s="305" t="str">
        <f t="shared" si="185"/>
        <v/>
      </c>
      <c r="U631" s="305" t="str">
        <f t="shared" si="186"/>
        <v/>
      </c>
      <c r="V631" s="305" t="str">
        <f t="shared" si="187"/>
        <v/>
      </c>
      <c r="W631" s="314" t="str">
        <f t="shared" si="188"/>
        <v/>
      </c>
      <c r="X631" s="314" t="str">
        <f t="shared" si="189"/>
        <v/>
      </c>
      <c r="Y631" s="326" t="str">
        <f t="shared" si="175"/>
        <v/>
      </c>
    </row>
    <row r="632" spans="7:25" x14ac:dyDescent="0.25">
      <c r="G632" s="303">
        <f t="shared" si="172"/>
        <v>0</v>
      </c>
      <c r="H632" s="304">
        <f t="shared" si="176"/>
        <v>625</v>
      </c>
      <c r="I632" s="305" t="str">
        <f t="shared" si="178"/>
        <v/>
      </c>
      <c r="J632" s="305" t="str">
        <f t="shared" si="179"/>
        <v/>
      </c>
      <c r="K632" s="305" t="str">
        <f t="shared" si="180"/>
        <v/>
      </c>
      <c r="L632" s="305" t="str">
        <f t="shared" si="181"/>
        <v/>
      </c>
      <c r="M632" s="314" t="str">
        <f t="shared" si="182"/>
        <v/>
      </c>
      <c r="N632" s="305" t="str">
        <f t="shared" si="183"/>
        <v/>
      </c>
      <c r="O632" s="327" t="e">
        <f t="shared" si="174"/>
        <v>#NUM!</v>
      </c>
      <c r="P632" s="305"/>
      <c r="Q632" s="303">
        <f t="shared" si="173"/>
        <v>0</v>
      </c>
      <c r="R632" s="304">
        <f t="shared" si="177"/>
        <v>-525</v>
      </c>
      <c r="S632" s="305" t="str">
        <f t="shared" si="184"/>
        <v/>
      </c>
      <c r="T632" s="305" t="str">
        <f t="shared" si="185"/>
        <v/>
      </c>
      <c r="U632" s="305" t="str">
        <f t="shared" si="186"/>
        <v/>
      </c>
      <c r="V632" s="305" t="str">
        <f t="shared" si="187"/>
        <v/>
      </c>
      <c r="W632" s="314" t="str">
        <f t="shared" si="188"/>
        <v/>
      </c>
      <c r="X632" s="314" t="str">
        <f t="shared" si="189"/>
        <v/>
      </c>
      <c r="Y632" s="326" t="str">
        <f t="shared" si="175"/>
        <v/>
      </c>
    </row>
    <row r="633" spans="7:25" x14ac:dyDescent="0.25">
      <c r="G633" s="303">
        <f t="shared" si="172"/>
        <v>0</v>
      </c>
      <c r="H633" s="304">
        <f t="shared" si="176"/>
        <v>626</v>
      </c>
      <c r="I633" s="305" t="str">
        <f t="shared" si="178"/>
        <v/>
      </c>
      <c r="J633" s="305" t="str">
        <f t="shared" si="179"/>
        <v/>
      </c>
      <c r="K633" s="305" t="str">
        <f t="shared" si="180"/>
        <v/>
      </c>
      <c r="L633" s="305" t="str">
        <f t="shared" si="181"/>
        <v/>
      </c>
      <c r="M633" s="314" t="str">
        <f t="shared" si="182"/>
        <v/>
      </c>
      <c r="N633" s="305" t="str">
        <f t="shared" si="183"/>
        <v/>
      </c>
      <c r="O633" s="327" t="e">
        <f t="shared" si="174"/>
        <v>#NUM!</v>
      </c>
      <c r="P633" s="305"/>
      <c r="Q633" s="303">
        <f t="shared" si="173"/>
        <v>0</v>
      </c>
      <c r="R633" s="304">
        <f t="shared" si="177"/>
        <v>-526</v>
      </c>
      <c r="S633" s="305" t="str">
        <f t="shared" si="184"/>
        <v/>
      </c>
      <c r="T633" s="305" t="str">
        <f t="shared" si="185"/>
        <v/>
      </c>
      <c r="U633" s="305" t="str">
        <f t="shared" si="186"/>
        <v/>
      </c>
      <c r="V633" s="305" t="str">
        <f t="shared" si="187"/>
        <v/>
      </c>
      <c r="W633" s="314" t="str">
        <f t="shared" si="188"/>
        <v/>
      </c>
      <c r="X633" s="314" t="str">
        <f t="shared" si="189"/>
        <v/>
      </c>
      <c r="Y633" s="326" t="str">
        <f t="shared" si="175"/>
        <v/>
      </c>
    </row>
    <row r="634" spans="7:25" x14ac:dyDescent="0.25">
      <c r="G634" s="303">
        <f t="shared" si="172"/>
        <v>0</v>
      </c>
      <c r="H634" s="304">
        <f t="shared" si="176"/>
        <v>627</v>
      </c>
      <c r="I634" s="305" t="str">
        <f t="shared" si="178"/>
        <v/>
      </c>
      <c r="J634" s="305" t="str">
        <f t="shared" si="179"/>
        <v/>
      </c>
      <c r="K634" s="305" t="str">
        <f t="shared" si="180"/>
        <v/>
      </c>
      <c r="L634" s="305" t="str">
        <f t="shared" si="181"/>
        <v/>
      </c>
      <c r="M634" s="314" t="str">
        <f t="shared" si="182"/>
        <v/>
      </c>
      <c r="N634" s="305" t="str">
        <f t="shared" si="183"/>
        <v/>
      </c>
      <c r="O634" s="327" t="e">
        <f t="shared" si="174"/>
        <v>#NUM!</v>
      </c>
      <c r="P634" s="305"/>
      <c r="Q634" s="303">
        <f t="shared" si="173"/>
        <v>0</v>
      </c>
      <c r="R634" s="304">
        <f t="shared" si="177"/>
        <v>-527</v>
      </c>
      <c r="S634" s="305" t="str">
        <f t="shared" si="184"/>
        <v/>
      </c>
      <c r="T634" s="305" t="str">
        <f t="shared" si="185"/>
        <v/>
      </c>
      <c r="U634" s="305" t="str">
        <f t="shared" si="186"/>
        <v/>
      </c>
      <c r="V634" s="305" t="str">
        <f t="shared" si="187"/>
        <v/>
      </c>
      <c r="W634" s="314" t="str">
        <f t="shared" si="188"/>
        <v/>
      </c>
      <c r="X634" s="314" t="str">
        <f t="shared" si="189"/>
        <v/>
      </c>
      <c r="Y634" s="326" t="str">
        <f t="shared" si="175"/>
        <v/>
      </c>
    </row>
    <row r="635" spans="7:25" x14ac:dyDescent="0.25">
      <c r="G635" s="303">
        <f t="shared" si="172"/>
        <v>0</v>
      </c>
      <c r="H635" s="304">
        <f t="shared" si="176"/>
        <v>628</v>
      </c>
      <c r="I635" s="305" t="str">
        <f t="shared" si="178"/>
        <v/>
      </c>
      <c r="J635" s="305" t="str">
        <f t="shared" si="179"/>
        <v/>
      </c>
      <c r="K635" s="305" t="str">
        <f t="shared" si="180"/>
        <v/>
      </c>
      <c r="L635" s="305" t="str">
        <f t="shared" si="181"/>
        <v/>
      </c>
      <c r="M635" s="314" t="str">
        <f t="shared" si="182"/>
        <v/>
      </c>
      <c r="N635" s="305" t="str">
        <f t="shared" si="183"/>
        <v/>
      </c>
      <c r="O635" s="327" t="e">
        <f t="shared" si="174"/>
        <v>#NUM!</v>
      </c>
      <c r="P635" s="305"/>
      <c r="Q635" s="303">
        <f t="shared" si="173"/>
        <v>0</v>
      </c>
      <c r="R635" s="304">
        <f t="shared" si="177"/>
        <v>-528</v>
      </c>
      <c r="S635" s="305" t="str">
        <f t="shared" si="184"/>
        <v/>
      </c>
      <c r="T635" s="305" t="str">
        <f t="shared" si="185"/>
        <v/>
      </c>
      <c r="U635" s="305" t="str">
        <f t="shared" si="186"/>
        <v/>
      </c>
      <c r="V635" s="305" t="str">
        <f t="shared" si="187"/>
        <v/>
      </c>
      <c r="W635" s="314" t="str">
        <f t="shared" si="188"/>
        <v/>
      </c>
      <c r="X635" s="314" t="str">
        <f t="shared" si="189"/>
        <v/>
      </c>
      <c r="Y635" s="326" t="str">
        <f t="shared" si="175"/>
        <v/>
      </c>
    </row>
    <row r="636" spans="7:25" x14ac:dyDescent="0.25">
      <c r="G636" s="303">
        <f t="shared" si="172"/>
        <v>0</v>
      </c>
      <c r="H636" s="304">
        <f t="shared" si="176"/>
        <v>629</v>
      </c>
      <c r="I636" s="305" t="str">
        <f t="shared" si="178"/>
        <v/>
      </c>
      <c r="J636" s="305" t="str">
        <f t="shared" si="179"/>
        <v/>
      </c>
      <c r="K636" s="305" t="str">
        <f t="shared" si="180"/>
        <v/>
      </c>
      <c r="L636" s="305" t="str">
        <f t="shared" si="181"/>
        <v/>
      </c>
      <c r="M636" s="314" t="str">
        <f t="shared" si="182"/>
        <v/>
      </c>
      <c r="N636" s="305" t="str">
        <f t="shared" si="183"/>
        <v/>
      </c>
      <c r="O636" s="327" t="e">
        <f t="shared" si="174"/>
        <v>#NUM!</v>
      </c>
      <c r="P636" s="305"/>
      <c r="Q636" s="303">
        <f t="shared" si="173"/>
        <v>0</v>
      </c>
      <c r="R636" s="304">
        <f t="shared" si="177"/>
        <v>-529</v>
      </c>
      <c r="S636" s="305" t="str">
        <f t="shared" si="184"/>
        <v/>
      </c>
      <c r="T636" s="305" t="str">
        <f t="shared" si="185"/>
        <v/>
      </c>
      <c r="U636" s="305" t="str">
        <f t="shared" si="186"/>
        <v/>
      </c>
      <c r="V636" s="305" t="str">
        <f t="shared" si="187"/>
        <v/>
      </c>
      <c r="W636" s="314" t="str">
        <f t="shared" si="188"/>
        <v/>
      </c>
      <c r="X636" s="314" t="str">
        <f t="shared" si="189"/>
        <v/>
      </c>
      <c r="Y636" s="326" t="str">
        <f t="shared" si="175"/>
        <v/>
      </c>
    </row>
    <row r="637" spans="7:25" x14ac:dyDescent="0.25">
      <c r="G637" s="303">
        <f t="shared" si="172"/>
        <v>0</v>
      </c>
      <c r="H637" s="304">
        <f t="shared" si="176"/>
        <v>630</v>
      </c>
      <c r="I637" s="305" t="str">
        <f t="shared" si="178"/>
        <v/>
      </c>
      <c r="J637" s="305" t="str">
        <f t="shared" si="179"/>
        <v/>
      </c>
      <c r="K637" s="305" t="str">
        <f t="shared" si="180"/>
        <v/>
      </c>
      <c r="L637" s="305" t="str">
        <f t="shared" si="181"/>
        <v/>
      </c>
      <c r="M637" s="314" t="str">
        <f t="shared" si="182"/>
        <v/>
      </c>
      <c r="N637" s="305" t="str">
        <f t="shared" si="183"/>
        <v/>
      </c>
      <c r="O637" s="327" t="e">
        <f t="shared" si="174"/>
        <v>#NUM!</v>
      </c>
      <c r="P637" s="305"/>
      <c r="Q637" s="303">
        <f t="shared" si="173"/>
        <v>0</v>
      </c>
      <c r="R637" s="304">
        <f t="shared" si="177"/>
        <v>-530</v>
      </c>
      <c r="S637" s="305" t="str">
        <f t="shared" si="184"/>
        <v/>
      </c>
      <c r="T637" s="305" t="str">
        <f t="shared" si="185"/>
        <v/>
      </c>
      <c r="U637" s="305" t="str">
        <f t="shared" si="186"/>
        <v/>
      </c>
      <c r="V637" s="305" t="str">
        <f t="shared" si="187"/>
        <v/>
      </c>
      <c r="W637" s="314" t="str">
        <f t="shared" si="188"/>
        <v/>
      </c>
      <c r="X637" s="314" t="str">
        <f t="shared" si="189"/>
        <v/>
      </c>
      <c r="Y637" s="326" t="str">
        <f t="shared" si="175"/>
        <v/>
      </c>
    </row>
    <row r="638" spans="7:25" x14ac:dyDescent="0.25">
      <c r="G638" s="303">
        <f t="shared" si="172"/>
        <v>0</v>
      </c>
      <c r="H638" s="304">
        <f t="shared" si="176"/>
        <v>631</v>
      </c>
      <c r="I638" s="305" t="str">
        <f t="shared" si="178"/>
        <v/>
      </c>
      <c r="J638" s="305" t="str">
        <f t="shared" si="179"/>
        <v/>
      </c>
      <c r="K638" s="305" t="str">
        <f t="shared" si="180"/>
        <v/>
      </c>
      <c r="L638" s="305" t="str">
        <f t="shared" si="181"/>
        <v/>
      </c>
      <c r="M638" s="314" t="str">
        <f t="shared" si="182"/>
        <v/>
      </c>
      <c r="N638" s="305" t="str">
        <f t="shared" si="183"/>
        <v/>
      </c>
      <c r="O638" s="327" t="e">
        <f t="shared" si="174"/>
        <v>#NUM!</v>
      </c>
      <c r="P638" s="305"/>
      <c r="Q638" s="303">
        <f t="shared" si="173"/>
        <v>0</v>
      </c>
      <c r="R638" s="304">
        <f t="shared" si="177"/>
        <v>-531</v>
      </c>
      <c r="S638" s="305" t="str">
        <f t="shared" si="184"/>
        <v/>
      </c>
      <c r="T638" s="305" t="str">
        <f t="shared" si="185"/>
        <v/>
      </c>
      <c r="U638" s="305" t="str">
        <f t="shared" si="186"/>
        <v/>
      </c>
      <c r="V638" s="305" t="str">
        <f t="shared" si="187"/>
        <v/>
      </c>
      <c r="W638" s="314" t="str">
        <f t="shared" si="188"/>
        <v/>
      </c>
      <c r="X638" s="314" t="str">
        <f t="shared" si="189"/>
        <v/>
      </c>
      <c r="Y638" s="326" t="str">
        <f t="shared" si="175"/>
        <v/>
      </c>
    </row>
    <row r="639" spans="7:25" x14ac:dyDescent="0.25">
      <c r="G639" s="303">
        <f t="shared" si="172"/>
        <v>0</v>
      </c>
      <c r="H639" s="304">
        <f t="shared" si="176"/>
        <v>632</v>
      </c>
      <c r="I639" s="305" t="str">
        <f t="shared" si="178"/>
        <v/>
      </c>
      <c r="J639" s="305" t="str">
        <f t="shared" si="179"/>
        <v/>
      </c>
      <c r="K639" s="305" t="str">
        <f t="shared" si="180"/>
        <v/>
      </c>
      <c r="L639" s="305" t="str">
        <f t="shared" si="181"/>
        <v/>
      </c>
      <c r="M639" s="314" t="str">
        <f t="shared" si="182"/>
        <v/>
      </c>
      <c r="N639" s="305" t="str">
        <f t="shared" si="183"/>
        <v/>
      </c>
      <c r="O639" s="327" t="e">
        <f t="shared" si="174"/>
        <v>#NUM!</v>
      </c>
      <c r="P639" s="305"/>
      <c r="Q639" s="303">
        <f t="shared" si="173"/>
        <v>0</v>
      </c>
      <c r="R639" s="304">
        <f t="shared" si="177"/>
        <v>-532</v>
      </c>
      <c r="S639" s="305" t="str">
        <f t="shared" si="184"/>
        <v/>
      </c>
      <c r="T639" s="305" t="str">
        <f t="shared" si="185"/>
        <v/>
      </c>
      <c r="U639" s="305" t="str">
        <f t="shared" si="186"/>
        <v/>
      </c>
      <c r="V639" s="305" t="str">
        <f t="shared" si="187"/>
        <v/>
      </c>
      <c r="W639" s="314" t="str">
        <f t="shared" si="188"/>
        <v/>
      </c>
      <c r="X639" s="314" t="str">
        <f t="shared" si="189"/>
        <v/>
      </c>
      <c r="Y639" s="326" t="str">
        <f t="shared" si="175"/>
        <v/>
      </c>
    </row>
    <row r="640" spans="7:25" x14ac:dyDescent="0.25">
      <c r="G640" s="303">
        <f t="shared" si="172"/>
        <v>0</v>
      </c>
      <c r="H640" s="304">
        <f t="shared" si="176"/>
        <v>633</v>
      </c>
      <c r="I640" s="305" t="str">
        <f t="shared" si="178"/>
        <v/>
      </c>
      <c r="J640" s="305" t="str">
        <f t="shared" si="179"/>
        <v/>
      </c>
      <c r="K640" s="305" t="str">
        <f t="shared" si="180"/>
        <v/>
      </c>
      <c r="L640" s="305" t="str">
        <f t="shared" si="181"/>
        <v/>
      </c>
      <c r="M640" s="314" t="str">
        <f t="shared" si="182"/>
        <v/>
      </c>
      <c r="N640" s="305" t="str">
        <f t="shared" si="183"/>
        <v/>
      </c>
      <c r="O640" s="327" t="e">
        <f t="shared" si="174"/>
        <v>#NUM!</v>
      </c>
      <c r="P640" s="305"/>
      <c r="Q640" s="303">
        <f t="shared" si="173"/>
        <v>0</v>
      </c>
      <c r="R640" s="304">
        <f t="shared" si="177"/>
        <v>-533</v>
      </c>
      <c r="S640" s="305" t="str">
        <f t="shared" si="184"/>
        <v/>
      </c>
      <c r="T640" s="305" t="str">
        <f t="shared" si="185"/>
        <v/>
      </c>
      <c r="U640" s="305" t="str">
        <f t="shared" si="186"/>
        <v/>
      </c>
      <c r="V640" s="305" t="str">
        <f t="shared" si="187"/>
        <v/>
      </c>
      <c r="W640" s="314" t="str">
        <f t="shared" si="188"/>
        <v/>
      </c>
      <c r="X640" s="314" t="str">
        <f t="shared" si="189"/>
        <v/>
      </c>
      <c r="Y640" s="326" t="str">
        <f t="shared" si="175"/>
        <v/>
      </c>
    </row>
    <row r="641" spans="7:25" x14ac:dyDescent="0.25">
      <c r="G641" s="303">
        <f t="shared" si="172"/>
        <v>0</v>
      </c>
      <c r="H641" s="304">
        <f t="shared" si="176"/>
        <v>634</v>
      </c>
      <c r="I641" s="305" t="str">
        <f t="shared" si="178"/>
        <v/>
      </c>
      <c r="J641" s="305" t="str">
        <f t="shared" si="179"/>
        <v/>
      </c>
      <c r="K641" s="305" t="str">
        <f t="shared" si="180"/>
        <v/>
      </c>
      <c r="L641" s="305" t="str">
        <f t="shared" si="181"/>
        <v/>
      </c>
      <c r="M641" s="314" t="str">
        <f t="shared" si="182"/>
        <v/>
      </c>
      <c r="N641" s="305" t="str">
        <f t="shared" si="183"/>
        <v/>
      </c>
      <c r="O641" s="327" t="e">
        <f t="shared" si="174"/>
        <v>#NUM!</v>
      </c>
      <c r="P641" s="305"/>
      <c r="Q641" s="303">
        <f t="shared" si="173"/>
        <v>0</v>
      </c>
      <c r="R641" s="304">
        <f t="shared" si="177"/>
        <v>-534</v>
      </c>
      <c r="S641" s="305" t="str">
        <f t="shared" si="184"/>
        <v/>
      </c>
      <c r="T641" s="305" t="str">
        <f t="shared" si="185"/>
        <v/>
      </c>
      <c r="U641" s="305" t="str">
        <f t="shared" si="186"/>
        <v/>
      </c>
      <c r="V641" s="305" t="str">
        <f t="shared" si="187"/>
        <v/>
      </c>
      <c r="W641" s="314" t="str">
        <f t="shared" si="188"/>
        <v/>
      </c>
      <c r="X641" s="314" t="str">
        <f t="shared" si="189"/>
        <v/>
      </c>
      <c r="Y641" s="326" t="str">
        <f t="shared" si="175"/>
        <v/>
      </c>
    </row>
    <row r="642" spans="7:25" x14ac:dyDescent="0.25">
      <c r="G642" s="303">
        <f t="shared" si="172"/>
        <v>0</v>
      </c>
      <c r="H642" s="304">
        <f t="shared" si="176"/>
        <v>635</v>
      </c>
      <c r="I642" s="305" t="str">
        <f t="shared" si="178"/>
        <v/>
      </c>
      <c r="J642" s="305" t="str">
        <f t="shared" si="179"/>
        <v/>
      </c>
      <c r="K642" s="305" t="str">
        <f t="shared" si="180"/>
        <v/>
      </c>
      <c r="L642" s="305" t="str">
        <f t="shared" si="181"/>
        <v/>
      </c>
      <c r="M642" s="314" t="str">
        <f t="shared" si="182"/>
        <v/>
      </c>
      <c r="N642" s="305" t="str">
        <f t="shared" si="183"/>
        <v/>
      </c>
      <c r="O642" s="327" t="e">
        <f t="shared" si="174"/>
        <v>#NUM!</v>
      </c>
      <c r="P642" s="305"/>
      <c r="Q642" s="303">
        <f t="shared" si="173"/>
        <v>0</v>
      </c>
      <c r="R642" s="304">
        <f t="shared" si="177"/>
        <v>-535</v>
      </c>
      <c r="S642" s="305" t="str">
        <f t="shared" si="184"/>
        <v/>
      </c>
      <c r="T642" s="305" t="str">
        <f t="shared" si="185"/>
        <v/>
      </c>
      <c r="U642" s="305" t="str">
        <f t="shared" si="186"/>
        <v/>
      </c>
      <c r="V642" s="305" t="str">
        <f t="shared" si="187"/>
        <v/>
      </c>
      <c r="W642" s="314" t="str">
        <f t="shared" si="188"/>
        <v/>
      </c>
      <c r="X642" s="314" t="str">
        <f t="shared" si="189"/>
        <v/>
      </c>
      <c r="Y642" s="326" t="str">
        <f t="shared" si="175"/>
        <v/>
      </c>
    </row>
    <row r="643" spans="7:25" x14ac:dyDescent="0.25">
      <c r="G643" s="303">
        <f t="shared" si="172"/>
        <v>0</v>
      </c>
      <c r="H643" s="304">
        <f t="shared" si="176"/>
        <v>636</v>
      </c>
      <c r="I643" s="305" t="str">
        <f t="shared" si="178"/>
        <v/>
      </c>
      <c r="J643" s="305" t="str">
        <f t="shared" si="179"/>
        <v/>
      </c>
      <c r="K643" s="305" t="str">
        <f t="shared" si="180"/>
        <v/>
      </c>
      <c r="L643" s="305" t="str">
        <f t="shared" si="181"/>
        <v/>
      </c>
      <c r="M643" s="314" t="str">
        <f t="shared" si="182"/>
        <v/>
      </c>
      <c r="N643" s="305" t="str">
        <f t="shared" si="183"/>
        <v/>
      </c>
      <c r="O643" s="327" t="e">
        <f t="shared" si="174"/>
        <v>#NUM!</v>
      </c>
      <c r="P643" s="305"/>
      <c r="Q643" s="303">
        <f t="shared" si="173"/>
        <v>0</v>
      </c>
      <c r="R643" s="304">
        <f t="shared" si="177"/>
        <v>-536</v>
      </c>
      <c r="S643" s="305" t="str">
        <f t="shared" si="184"/>
        <v/>
      </c>
      <c r="T643" s="305" t="str">
        <f t="shared" si="185"/>
        <v/>
      </c>
      <c r="U643" s="305" t="str">
        <f t="shared" si="186"/>
        <v/>
      </c>
      <c r="V643" s="305" t="str">
        <f t="shared" si="187"/>
        <v/>
      </c>
      <c r="W643" s="314" t="str">
        <f t="shared" si="188"/>
        <v/>
      </c>
      <c r="X643" s="314" t="str">
        <f t="shared" si="189"/>
        <v/>
      </c>
      <c r="Y643" s="326" t="str">
        <f t="shared" si="175"/>
        <v/>
      </c>
    </row>
    <row r="644" spans="7:25" x14ac:dyDescent="0.25">
      <c r="G644" s="303">
        <f t="shared" si="172"/>
        <v>0</v>
      </c>
      <c r="H644" s="304">
        <f t="shared" si="176"/>
        <v>637</v>
      </c>
      <c r="I644" s="305" t="str">
        <f t="shared" si="178"/>
        <v/>
      </c>
      <c r="J644" s="305" t="str">
        <f t="shared" si="179"/>
        <v/>
      </c>
      <c r="K644" s="305" t="str">
        <f t="shared" si="180"/>
        <v/>
      </c>
      <c r="L644" s="305" t="str">
        <f t="shared" si="181"/>
        <v/>
      </c>
      <c r="M644" s="314" t="str">
        <f t="shared" si="182"/>
        <v/>
      </c>
      <c r="N644" s="305" t="str">
        <f t="shared" si="183"/>
        <v/>
      </c>
      <c r="O644" s="327" t="e">
        <f t="shared" si="174"/>
        <v>#NUM!</v>
      </c>
      <c r="P644" s="305"/>
      <c r="Q644" s="303">
        <f t="shared" si="173"/>
        <v>0</v>
      </c>
      <c r="R644" s="304">
        <f t="shared" si="177"/>
        <v>-537</v>
      </c>
      <c r="S644" s="305" t="str">
        <f t="shared" si="184"/>
        <v/>
      </c>
      <c r="T644" s="305" t="str">
        <f t="shared" si="185"/>
        <v/>
      </c>
      <c r="U644" s="305" t="str">
        <f t="shared" si="186"/>
        <v/>
      </c>
      <c r="V644" s="305" t="str">
        <f t="shared" si="187"/>
        <v/>
      </c>
      <c r="W644" s="314" t="str">
        <f t="shared" si="188"/>
        <v/>
      </c>
      <c r="X644" s="314" t="str">
        <f t="shared" si="189"/>
        <v/>
      </c>
      <c r="Y644" s="326" t="str">
        <f t="shared" si="175"/>
        <v/>
      </c>
    </row>
    <row r="645" spans="7:25" x14ac:dyDescent="0.25">
      <c r="G645" s="303">
        <f t="shared" si="172"/>
        <v>0</v>
      </c>
      <c r="H645" s="304">
        <f t="shared" si="176"/>
        <v>638</v>
      </c>
      <c r="I645" s="305" t="str">
        <f t="shared" si="178"/>
        <v/>
      </c>
      <c r="J645" s="305" t="str">
        <f t="shared" si="179"/>
        <v/>
      </c>
      <c r="K645" s="305" t="str">
        <f t="shared" si="180"/>
        <v/>
      </c>
      <c r="L645" s="305" t="str">
        <f t="shared" si="181"/>
        <v/>
      </c>
      <c r="M645" s="314" t="str">
        <f t="shared" si="182"/>
        <v/>
      </c>
      <c r="N645" s="305" t="str">
        <f t="shared" si="183"/>
        <v/>
      </c>
      <c r="O645" s="327" t="e">
        <f t="shared" si="174"/>
        <v>#NUM!</v>
      </c>
      <c r="P645" s="305"/>
      <c r="Q645" s="303">
        <f t="shared" si="173"/>
        <v>0</v>
      </c>
      <c r="R645" s="304">
        <f t="shared" si="177"/>
        <v>-538</v>
      </c>
      <c r="S645" s="305" t="str">
        <f t="shared" si="184"/>
        <v/>
      </c>
      <c r="T645" s="305" t="str">
        <f t="shared" si="185"/>
        <v/>
      </c>
      <c r="U645" s="305" t="str">
        <f t="shared" si="186"/>
        <v/>
      </c>
      <c r="V645" s="305" t="str">
        <f t="shared" si="187"/>
        <v/>
      </c>
      <c r="W645" s="314" t="str">
        <f t="shared" si="188"/>
        <v/>
      </c>
      <c r="X645" s="314" t="str">
        <f t="shared" si="189"/>
        <v/>
      </c>
      <c r="Y645" s="326" t="str">
        <f t="shared" si="175"/>
        <v/>
      </c>
    </row>
    <row r="646" spans="7:25" x14ac:dyDescent="0.25">
      <c r="G646" s="303">
        <f t="shared" si="172"/>
        <v>0</v>
      </c>
      <c r="H646" s="304">
        <f t="shared" si="176"/>
        <v>639</v>
      </c>
      <c r="I646" s="305" t="str">
        <f t="shared" si="178"/>
        <v/>
      </c>
      <c r="J646" s="305" t="str">
        <f t="shared" si="179"/>
        <v/>
      </c>
      <c r="K646" s="305" t="str">
        <f t="shared" si="180"/>
        <v/>
      </c>
      <c r="L646" s="305" t="str">
        <f t="shared" si="181"/>
        <v/>
      </c>
      <c r="M646" s="314" t="str">
        <f t="shared" si="182"/>
        <v/>
      </c>
      <c r="N646" s="305" t="str">
        <f t="shared" si="183"/>
        <v/>
      </c>
      <c r="O646" s="327" t="e">
        <f t="shared" si="174"/>
        <v>#NUM!</v>
      </c>
      <c r="P646" s="305"/>
      <c r="Q646" s="303">
        <f t="shared" si="173"/>
        <v>0</v>
      </c>
      <c r="R646" s="304">
        <f t="shared" si="177"/>
        <v>-539</v>
      </c>
      <c r="S646" s="305" t="str">
        <f t="shared" si="184"/>
        <v/>
      </c>
      <c r="T646" s="305" t="str">
        <f t="shared" si="185"/>
        <v/>
      </c>
      <c r="U646" s="305" t="str">
        <f t="shared" si="186"/>
        <v/>
      </c>
      <c r="V646" s="305" t="str">
        <f t="shared" si="187"/>
        <v/>
      </c>
      <c r="W646" s="314" t="str">
        <f t="shared" si="188"/>
        <v/>
      </c>
      <c r="X646" s="314" t="str">
        <f t="shared" si="189"/>
        <v/>
      </c>
      <c r="Y646" s="326" t="str">
        <f t="shared" si="175"/>
        <v/>
      </c>
    </row>
    <row r="647" spans="7:25" x14ac:dyDescent="0.25">
      <c r="G647" s="303">
        <f t="shared" ref="G647:G710" si="190">IF(H647&lt;=$C$16,1,0)</f>
        <v>0</v>
      </c>
      <c r="H647" s="304">
        <f t="shared" si="176"/>
        <v>640</v>
      </c>
      <c r="I647" s="305" t="str">
        <f t="shared" si="178"/>
        <v/>
      </c>
      <c r="J647" s="305" t="str">
        <f t="shared" si="179"/>
        <v/>
      </c>
      <c r="K647" s="305" t="str">
        <f t="shared" si="180"/>
        <v/>
      </c>
      <c r="L647" s="305" t="str">
        <f t="shared" si="181"/>
        <v/>
      </c>
      <c r="M647" s="314" t="str">
        <f t="shared" si="182"/>
        <v/>
      </c>
      <c r="N647" s="305" t="str">
        <f t="shared" si="183"/>
        <v/>
      </c>
      <c r="O647" s="327" t="e">
        <f t="shared" si="174"/>
        <v>#NUM!</v>
      </c>
      <c r="P647" s="305"/>
      <c r="Q647" s="303">
        <f t="shared" ref="Q647:Q710" si="191">IF(R647&gt;=$C$16,1,0)</f>
        <v>0</v>
      </c>
      <c r="R647" s="304">
        <f t="shared" si="177"/>
        <v>-540</v>
      </c>
      <c r="S647" s="305" t="str">
        <f t="shared" si="184"/>
        <v/>
      </c>
      <c r="T647" s="305" t="str">
        <f t="shared" si="185"/>
        <v/>
      </c>
      <c r="U647" s="305" t="str">
        <f t="shared" si="186"/>
        <v/>
      </c>
      <c r="V647" s="305" t="str">
        <f t="shared" si="187"/>
        <v/>
      </c>
      <c r="W647" s="314" t="str">
        <f t="shared" si="188"/>
        <v/>
      </c>
      <c r="X647" s="314" t="str">
        <f t="shared" si="189"/>
        <v/>
      </c>
      <c r="Y647" s="326" t="str">
        <f t="shared" si="175"/>
        <v/>
      </c>
    </row>
    <row r="648" spans="7:25" x14ac:dyDescent="0.25">
      <c r="G648" s="303">
        <f t="shared" si="190"/>
        <v>0</v>
      </c>
      <c r="H648" s="304">
        <f t="shared" si="176"/>
        <v>641</v>
      </c>
      <c r="I648" s="305" t="str">
        <f t="shared" si="178"/>
        <v/>
      </c>
      <c r="J648" s="305" t="str">
        <f t="shared" si="179"/>
        <v/>
      </c>
      <c r="K648" s="305" t="str">
        <f t="shared" si="180"/>
        <v/>
      </c>
      <c r="L648" s="305" t="str">
        <f t="shared" si="181"/>
        <v/>
      </c>
      <c r="M648" s="314" t="str">
        <f t="shared" si="182"/>
        <v/>
      </c>
      <c r="N648" s="305" t="str">
        <f t="shared" si="183"/>
        <v/>
      </c>
      <c r="O648" s="327" t="e">
        <f t="shared" ref="O648:O710" si="192">IF($C$15=1,IF(AND(O647&lt;=$C$17,M648&lt;=$C$17),M648,""),"")</f>
        <v>#NUM!</v>
      </c>
      <c r="P648" s="305"/>
      <c r="Q648" s="303">
        <f t="shared" si="191"/>
        <v>0</v>
      </c>
      <c r="R648" s="304">
        <f t="shared" si="177"/>
        <v>-541</v>
      </c>
      <c r="S648" s="305" t="str">
        <f t="shared" si="184"/>
        <v/>
      </c>
      <c r="T648" s="305" t="str">
        <f t="shared" si="185"/>
        <v/>
      </c>
      <c r="U648" s="305" t="str">
        <f t="shared" si="186"/>
        <v/>
      </c>
      <c r="V648" s="305" t="str">
        <f t="shared" si="187"/>
        <v/>
      </c>
      <c r="W648" s="314" t="str">
        <f t="shared" si="188"/>
        <v/>
      </c>
      <c r="X648" s="314" t="str">
        <f t="shared" si="189"/>
        <v/>
      </c>
      <c r="Y648" s="326" t="str">
        <f t="shared" ref="Y648:Y710" si="193">IF($C$15=-1,IF(AND(Y647&lt;=$C$17,W648&lt;=$C$17),M648,""),"")</f>
        <v/>
      </c>
    </row>
    <row r="649" spans="7:25" x14ac:dyDescent="0.25">
      <c r="G649" s="303">
        <f t="shared" si="190"/>
        <v>0</v>
      </c>
      <c r="H649" s="304">
        <f t="shared" ref="H649:H710" si="194">H648+1</f>
        <v>642</v>
      </c>
      <c r="I649" s="305" t="str">
        <f t="shared" si="178"/>
        <v/>
      </c>
      <c r="J649" s="305" t="str">
        <f t="shared" si="179"/>
        <v/>
      </c>
      <c r="K649" s="305" t="str">
        <f t="shared" si="180"/>
        <v/>
      </c>
      <c r="L649" s="305" t="str">
        <f t="shared" si="181"/>
        <v/>
      </c>
      <c r="M649" s="314" t="str">
        <f t="shared" si="182"/>
        <v/>
      </c>
      <c r="N649" s="305" t="str">
        <f t="shared" si="183"/>
        <v/>
      </c>
      <c r="O649" s="327" t="e">
        <f t="shared" si="192"/>
        <v>#NUM!</v>
      </c>
      <c r="P649" s="305"/>
      <c r="Q649" s="303">
        <f t="shared" si="191"/>
        <v>0</v>
      </c>
      <c r="R649" s="304">
        <f t="shared" ref="R649:R710" si="195">R648-1</f>
        <v>-542</v>
      </c>
      <c r="S649" s="305" t="str">
        <f t="shared" si="184"/>
        <v/>
      </c>
      <c r="T649" s="305" t="str">
        <f t="shared" si="185"/>
        <v/>
      </c>
      <c r="U649" s="305" t="str">
        <f t="shared" si="186"/>
        <v/>
      </c>
      <c r="V649" s="305" t="str">
        <f t="shared" si="187"/>
        <v/>
      </c>
      <c r="W649" s="314" t="str">
        <f t="shared" si="188"/>
        <v/>
      </c>
      <c r="X649" s="314" t="str">
        <f t="shared" si="189"/>
        <v/>
      </c>
      <c r="Y649" s="326" t="str">
        <f t="shared" si="193"/>
        <v/>
      </c>
    </row>
    <row r="650" spans="7:25" x14ac:dyDescent="0.25">
      <c r="G650" s="303">
        <f t="shared" si="190"/>
        <v>0</v>
      </c>
      <c r="H650" s="304">
        <f t="shared" si="194"/>
        <v>643</v>
      </c>
      <c r="I650" s="305" t="str">
        <f t="shared" si="178"/>
        <v/>
      </c>
      <c r="J650" s="305" t="str">
        <f t="shared" si="179"/>
        <v/>
      </c>
      <c r="K650" s="305" t="str">
        <f t="shared" si="180"/>
        <v/>
      </c>
      <c r="L650" s="305" t="str">
        <f t="shared" si="181"/>
        <v/>
      </c>
      <c r="M650" s="314" t="str">
        <f t="shared" si="182"/>
        <v/>
      </c>
      <c r="N650" s="305" t="str">
        <f t="shared" si="183"/>
        <v/>
      </c>
      <c r="O650" s="327" t="e">
        <f t="shared" si="192"/>
        <v>#NUM!</v>
      </c>
      <c r="P650" s="305"/>
      <c r="Q650" s="303">
        <f t="shared" si="191"/>
        <v>0</v>
      </c>
      <c r="R650" s="304">
        <f t="shared" si="195"/>
        <v>-543</v>
      </c>
      <c r="S650" s="305" t="str">
        <f t="shared" si="184"/>
        <v/>
      </c>
      <c r="T650" s="305" t="str">
        <f t="shared" si="185"/>
        <v/>
      </c>
      <c r="U650" s="305" t="str">
        <f t="shared" si="186"/>
        <v/>
      </c>
      <c r="V650" s="305" t="str">
        <f t="shared" si="187"/>
        <v/>
      </c>
      <c r="W650" s="314" t="str">
        <f t="shared" si="188"/>
        <v/>
      </c>
      <c r="X650" s="314" t="str">
        <f t="shared" si="189"/>
        <v/>
      </c>
      <c r="Y650" s="326" t="str">
        <f t="shared" si="193"/>
        <v/>
      </c>
    </row>
    <row r="651" spans="7:25" x14ac:dyDescent="0.25">
      <c r="G651" s="303">
        <f t="shared" si="190"/>
        <v>0</v>
      </c>
      <c r="H651" s="304">
        <f t="shared" si="194"/>
        <v>644</v>
      </c>
      <c r="I651" s="305" t="str">
        <f t="shared" si="178"/>
        <v/>
      </c>
      <c r="J651" s="305" t="str">
        <f t="shared" si="179"/>
        <v/>
      </c>
      <c r="K651" s="305" t="str">
        <f t="shared" si="180"/>
        <v/>
      </c>
      <c r="L651" s="305" t="str">
        <f t="shared" si="181"/>
        <v/>
      </c>
      <c r="M651" s="314" t="str">
        <f t="shared" si="182"/>
        <v/>
      </c>
      <c r="N651" s="305" t="str">
        <f t="shared" si="183"/>
        <v/>
      </c>
      <c r="O651" s="327" t="e">
        <f t="shared" si="192"/>
        <v>#NUM!</v>
      </c>
      <c r="P651" s="305"/>
      <c r="Q651" s="303">
        <f t="shared" si="191"/>
        <v>0</v>
      </c>
      <c r="R651" s="304">
        <f t="shared" si="195"/>
        <v>-544</v>
      </c>
      <c r="S651" s="305" t="str">
        <f t="shared" si="184"/>
        <v/>
      </c>
      <c r="T651" s="305" t="str">
        <f t="shared" si="185"/>
        <v/>
      </c>
      <c r="U651" s="305" t="str">
        <f t="shared" si="186"/>
        <v/>
      </c>
      <c r="V651" s="305" t="str">
        <f t="shared" si="187"/>
        <v/>
      </c>
      <c r="W651" s="314" t="str">
        <f t="shared" si="188"/>
        <v/>
      </c>
      <c r="X651" s="314" t="str">
        <f t="shared" si="189"/>
        <v/>
      </c>
      <c r="Y651" s="326" t="str">
        <f t="shared" si="193"/>
        <v/>
      </c>
    </row>
    <row r="652" spans="7:25" x14ac:dyDescent="0.25">
      <c r="G652" s="303">
        <f t="shared" si="190"/>
        <v>0</v>
      </c>
      <c r="H652" s="304">
        <f t="shared" si="194"/>
        <v>645</v>
      </c>
      <c r="I652" s="305" t="str">
        <f t="shared" si="178"/>
        <v/>
      </c>
      <c r="J652" s="305" t="str">
        <f t="shared" si="179"/>
        <v/>
      </c>
      <c r="K652" s="305" t="str">
        <f t="shared" si="180"/>
        <v/>
      </c>
      <c r="L652" s="305" t="str">
        <f t="shared" si="181"/>
        <v/>
      </c>
      <c r="M652" s="314" t="str">
        <f t="shared" si="182"/>
        <v/>
      </c>
      <c r="N652" s="305" t="str">
        <f t="shared" si="183"/>
        <v/>
      </c>
      <c r="O652" s="327" t="e">
        <f t="shared" si="192"/>
        <v>#NUM!</v>
      </c>
      <c r="P652" s="305"/>
      <c r="Q652" s="303">
        <f t="shared" si="191"/>
        <v>0</v>
      </c>
      <c r="R652" s="304">
        <f t="shared" si="195"/>
        <v>-545</v>
      </c>
      <c r="S652" s="305" t="str">
        <f t="shared" si="184"/>
        <v/>
      </c>
      <c r="T652" s="305" t="str">
        <f t="shared" si="185"/>
        <v/>
      </c>
      <c r="U652" s="305" t="str">
        <f t="shared" si="186"/>
        <v/>
      </c>
      <c r="V652" s="305" t="str">
        <f t="shared" si="187"/>
        <v/>
      </c>
      <c r="W652" s="314" t="str">
        <f t="shared" si="188"/>
        <v/>
      </c>
      <c r="X652" s="314" t="str">
        <f t="shared" si="189"/>
        <v/>
      </c>
      <c r="Y652" s="326" t="str">
        <f t="shared" si="193"/>
        <v/>
      </c>
    </row>
    <row r="653" spans="7:25" x14ac:dyDescent="0.25">
      <c r="G653" s="303">
        <f t="shared" si="190"/>
        <v>0</v>
      </c>
      <c r="H653" s="304">
        <f t="shared" si="194"/>
        <v>646</v>
      </c>
      <c r="I653" s="305" t="str">
        <f t="shared" ref="I653:I710" si="196">IF(G653,H653,"")</f>
        <v/>
      </c>
      <c r="J653" s="305" t="str">
        <f t="shared" ref="J653:J710" si="197">IF(G653,$D$5-H653,"")</f>
        <v/>
      </c>
      <c r="K653" s="305" t="str">
        <f t="shared" ref="K653:K710" si="198">IF(G653,$B$7-H653,"")</f>
        <v/>
      </c>
      <c r="L653" s="305" t="str">
        <f t="shared" ref="L653:L710" si="199">IF(G653,$D$7-SUM(I653:K653),"")</f>
        <v/>
      </c>
      <c r="M653" s="314" t="str">
        <f t="shared" ref="M653:M710" si="200">IF(G653,M652*(K652*J652)/(L653*I653),"")</f>
        <v/>
      </c>
      <c r="N653" s="305" t="str">
        <f t="shared" ref="N653:N710" si="201">IF(AND(G653=1,I653&lt;=$B$5),M653,"")</f>
        <v/>
      </c>
      <c r="O653" s="327" t="e">
        <f t="shared" si="192"/>
        <v>#NUM!</v>
      </c>
      <c r="P653" s="305"/>
      <c r="Q653" s="303">
        <f t="shared" si="191"/>
        <v>0</v>
      </c>
      <c r="R653" s="304">
        <f t="shared" si="195"/>
        <v>-546</v>
      </c>
      <c r="S653" s="305" t="str">
        <f t="shared" ref="S653:S710" si="202">IF(Q653,R653,"")</f>
        <v/>
      </c>
      <c r="T653" s="305" t="str">
        <f t="shared" ref="T653:T710" si="203">IF(Q653,$D$5-R653,"")</f>
        <v/>
      </c>
      <c r="U653" s="305" t="str">
        <f t="shared" ref="U653:U710" si="204">IF(Q653,$B$7-R653,"")</f>
        <v/>
      </c>
      <c r="V653" s="305" t="str">
        <f t="shared" ref="V653:V710" si="205">IF(Q653,$D$7-SUM(S653:U653),"")</f>
        <v/>
      </c>
      <c r="W653" s="314" t="str">
        <f t="shared" ref="W653:W710" si="206">IF(Q653,W652*(S652*V652)/(U653*T653),"")</f>
        <v/>
      </c>
      <c r="X653" s="314" t="str">
        <f t="shared" ref="X653:X710" si="207">IF(AND(Q653=1,S653&gt;=$B$5),W653,"")</f>
        <v/>
      </c>
      <c r="Y653" s="326" t="str">
        <f t="shared" si="193"/>
        <v/>
      </c>
    </row>
    <row r="654" spans="7:25" x14ac:dyDescent="0.25">
      <c r="G654" s="303">
        <f t="shared" si="190"/>
        <v>0</v>
      </c>
      <c r="H654" s="304">
        <f t="shared" si="194"/>
        <v>647</v>
      </c>
      <c r="I654" s="305" t="str">
        <f t="shared" si="196"/>
        <v/>
      </c>
      <c r="J654" s="305" t="str">
        <f t="shared" si="197"/>
        <v/>
      </c>
      <c r="K654" s="305" t="str">
        <f t="shared" si="198"/>
        <v/>
      </c>
      <c r="L654" s="305" t="str">
        <f t="shared" si="199"/>
        <v/>
      </c>
      <c r="M654" s="314" t="str">
        <f t="shared" si="200"/>
        <v/>
      </c>
      <c r="N654" s="305" t="str">
        <f t="shared" si="201"/>
        <v/>
      </c>
      <c r="O654" s="327" t="e">
        <f t="shared" si="192"/>
        <v>#NUM!</v>
      </c>
      <c r="P654" s="305"/>
      <c r="Q654" s="303">
        <f t="shared" si="191"/>
        <v>0</v>
      </c>
      <c r="R654" s="304">
        <f t="shared" si="195"/>
        <v>-547</v>
      </c>
      <c r="S654" s="305" t="str">
        <f t="shared" si="202"/>
        <v/>
      </c>
      <c r="T654" s="305" t="str">
        <f t="shared" si="203"/>
        <v/>
      </c>
      <c r="U654" s="305" t="str">
        <f t="shared" si="204"/>
        <v/>
      </c>
      <c r="V654" s="305" t="str">
        <f t="shared" si="205"/>
        <v/>
      </c>
      <c r="W654" s="314" t="str">
        <f t="shared" si="206"/>
        <v/>
      </c>
      <c r="X654" s="314" t="str">
        <f t="shared" si="207"/>
        <v/>
      </c>
      <c r="Y654" s="326" t="str">
        <f t="shared" si="193"/>
        <v/>
      </c>
    </row>
    <row r="655" spans="7:25" x14ac:dyDescent="0.25">
      <c r="G655" s="303">
        <f t="shared" si="190"/>
        <v>0</v>
      </c>
      <c r="H655" s="304">
        <f t="shared" si="194"/>
        <v>648</v>
      </c>
      <c r="I655" s="305" t="str">
        <f t="shared" si="196"/>
        <v/>
      </c>
      <c r="J655" s="305" t="str">
        <f t="shared" si="197"/>
        <v/>
      </c>
      <c r="K655" s="305" t="str">
        <f t="shared" si="198"/>
        <v/>
      </c>
      <c r="L655" s="305" t="str">
        <f t="shared" si="199"/>
        <v/>
      </c>
      <c r="M655" s="314" t="str">
        <f t="shared" si="200"/>
        <v/>
      </c>
      <c r="N655" s="305" t="str">
        <f t="shared" si="201"/>
        <v/>
      </c>
      <c r="O655" s="327" t="e">
        <f t="shared" si="192"/>
        <v>#NUM!</v>
      </c>
      <c r="P655" s="305"/>
      <c r="Q655" s="303">
        <f t="shared" si="191"/>
        <v>0</v>
      </c>
      <c r="R655" s="304">
        <f t="shared" si="195"/>
        <v>-548</v>
      </c>
      <c r="S655" s="305" t="str">
        <f t="shared" si="202"/>
        <v/>
      </c>
      <c r="T655" s="305" t="str">
        <f t="shared" si="203"/>
        <v/>
      </c>
      <c r="U655" s="305" t="str">
        <f t="shared" si="204"/>
        <v/>
      </c>
      <c r="V655" s="305" t="str">
        <f t="shared" si="205"/>
        <v/>
      </c>
      <c r="W655" s="314" t="str">
        <f t="shared" si="206"/>
        <v/>
      </c>
      <c r="X655" s="314" t="str">
        <f t="shared" si="207"/>
        <v/>
      </c>
      <c r="Y655" s="326" t="str">
        <f t="shared" si="193"/>
        <v/>
      </c>
    </row>
    <row r="656" spans="7:25" x14ac:dyDescent="0.25">
      <c r="G656" s="303">
        <f t="shared" si="190"/>
        <v>0</v>
      </c>
      <c r="H656" s="304">
        <f t="shared" si="194"/>
        <v>649</v>
      </c>
      <c r="I656" s="305" t="str">
        <f t="shared" si="196"/>
        <v/>
      </c>
      <c r="J656" s="305" t="str">
        <f t="shared" si="197"/>
        <v/>
      </c>
      <c r="K656" s="305" t="str">
        <f t="shared" si="198"/>
        <v/>
      </c>
      <c r="L656" s="305" t="str">
        <f t="shared" si="199"/>
        <v/>
      </c>
      <c r="M656" s="314" t="str">
        <f t="shared" si="200"/>
        <v/>
      </c>
      <c r="N656" s="305" t="str">
        <f t="shared" si="201"/>
        <v/>
      </c>
      <c r="O656" s="327" t="e">
        <f t="shared" si="192"/>
        <v>#NUM!</v>
      </c>
      <c r="P656" s="305"/>
      <c r="Q656" s="303">
        <f t="shared" si="191"/>
        <v>0</v>
      </c>
      <c r="R656" s="304">
        <f t="shared" si="195"/>
        <v>-549</v>
      </c>
      <c r="S656" s="305" t="str">
        <f t="shared" si="202"/>
        <v/>
      </c>
      <c r="T656" s="305" t="str">
        <f t="shared" si="203"/>
        <v/>
      </c>
      <c r="U656" s="305" t="str">
        <f t="shared" si="204"/>
        <v/>
      </c>
      <c r="V656" s="305" t="str">
        <f t="shared" si="205"/>
        <v/>
      </c>
      <c r="W656" s="314" t="str">
        <f t="shared" si="206"/>
        <v/>
      </c>
      <c r="X656" s="314" t="str">
        <f t="shared" si="207"/>
        <v/>
      </c>
      <c r="Y656" s="326" t="str">
        <f t="shared" si="193"/>
        <v/>
      </c>
    </row>
    <row r="657" spans="7:25" x14ac:dyDescent="0.25">
      <c r="G657" s="303">
        <f t="shared" si="190"/>
        <v>0</v>
      </c>
      <c r="H657" s="304">
        <f t="shared" si="194"/>
        <v>650</v>
      </c>
      <c r="I657" s="305" t="str">
        <f t="shared" si="196"/>
        <v/>
      </c>
      <c r="J657" s="305" t="str">
        <f t="shared" si="197"/>
        <v/>
      </c>
      <c r="K657" s="305" t="str">
        <f t="shared" si="198"/>
        <v/>
      </c>
      <c r="L657" s="305" t="str">
        <f t="shared" si="199"/>
        <v/>
      </c>
      <c r="M657" s="314" t="str">
        <f t="shared" si="200"/>
        <v/>
      </c>
      <c r="N657" s="305" t="str">
        <f t="shared" si="201"/>
        <v/>
      </c>
      <c r="O657" s="327" t="e">
        <f t="shared" si="192"/>
        <v>#NUM!</v>
      </c>
      <c r="P657" s="305"/>
      <c r="Q657" s="303">
        <f t="shared" si="191"/>
        <v>0</v>
      </c>
      <c r="R657" s="304">
        <f t="shared" si="195"/>
        <v>-550</v>
      </c>
      <c r="S657" s="305" t="str">
        <f t="shared" si="202"/>
        <v/>
      </c>
      <c r="T657" s="305" t="str">
        <f t="shared" si="203"/>
        <v/>
      </c>
      <c r="U657" s="305" t="str">
        <f t="shared" si="204"/>
        <v/>
      </c>
      <c r="V657" s="305" t="str">
        <f t="shared" si="205"/>
        <v/>
      </c>
      <c r="W657" s="314" t="str">
        <f t="shared" si="206"/>
        <v/>
      </c>
      <c r="X657" s="314" t="str">
        <f t="shared" si="207"/>
        <v/>
      </c>
      <c r="Y657" s="326" t="str">
        <f t="shared" si="193"/>
        <v/>
      </c>
    </row>
    <row r="658" spans="7:25" x14ac:dyDescent="0.25">
      <c r="G658" s="303">
        <f t="shared" si="190"/>
        <v>0</v>
      </c>
      <c r="H658" s="304">
        <f t="shared" si="194"/>
        <v>651</v>
      </c>
      <c r="I658" s="305" t="str">
        <f t="shared" si="196"/>
        <v/>
      </c>
      <c r="J658" s="305" t="str">
        <f t="shared" si="197"/>
        <v/>
      </c>
      <c r="K658" s="305" t="str">
        <f t="shared" si="198"/>
        <v/>
      </c>
      <c r="L658" s="305" t="str">
        <f t="shared" si="199"/>
        <v/>
      </c>
      <c r="M658" s="314" t="str">
        <f t="shared" si="200"/>
        <v/>
      </c>
      <c r="N658" s="305" t="str">
        <f t="shared" si="201"/>
        <v/>
      </c>
      <c r="O658" s="327" t="e">
        <f t="shared" si="192"/>
        <v>#NUM!</v>
      </c>
      <c r="P658" s="305"/>
      <c r="Q658" s="303">
        <f t="shared" si="191"/>
        <v>0</v>
      </c>
      <c r="R658" s="304">
        <f t="shared" si="195"/>
        <v>-551</v>
      </c>
      <c r="S658" s="305" t="str">
        <f t="shared" si="202"/>
        <v/>
      </c>
      <c r="T658" s="305" t="str">
        <f t="shared" si="203"/>
        <v/>
      </c>
      <c r="U658" s="305" t="str">
        <f t="shared" si="204"/>
        <v/>
      </c>
      <c r="V658" s="305" t="str">
        <f t="shared" si="205"/>
        <v/>
      </c>
      <c r="W658" s="314" t="str">
        <f t="shared" si="206"/>
        <v/>
      </c>
      <c r="X658" s="314" t="str">
        <f t="shared" si="207"/>
        <v/>
      </c>
      <c r="Y658" s="326" t="str">
        <f t="shared" si="193"/>
        <v/>
      </c>
    </row>
    <row r="659" spans="7:25" x14ac:dyDescent="0.25">
      <c r="G659" s="303">
        <f t="shared" si="190"/>
        <v>0</v>
      </c>
      <c r="H659" s="304">
        <f t="shared" si="194"/>
        <v>652</v>
      </c>
      <c r="I659" s="305" t="str">
        <f t="shared" si="196"/>
        <v/>
      </c>
      <c r="J659" s="305" t="str">
        <f t="shared" si="197"/>
        <v/>
      </c>
      <c r="K659" s="305" t="str">
        <f t="shared" si="198"/>
        <v/>
      </c>
      <c r="L659" s="305" t="str">
        <f t="shared" si="199"/>
        <v/>
      </c>
      <c r="M659" s="314" t="str">
        <f t="shared" si="200"/>
        <v/>
      </c>
      <c r="N659" s="305" t="str">
        <f t="shared" si="201"/>
        <v/>
      </c>
      <c r="O659" s="327" t="e">
        <f t="shared" si="192"/>
        <v>#NUM!</v>
      </c>
      <c r="P659" s="305"/>
      <c r="Q659" s="303">
        <f t="shared" si="191"/>
        <v>0</v>
      </c>
      <c r="R659" s="304">
        <f t="shared" si="195"/>
        <v>-552</v>
      </c>
      <c r="S659" s="305" t="str">
        <f t="shared" si="202"/>
        <v/>
      </c>
      <c r="T659" s="305" t="str">
        <f t="shared" si="203"/>
        <v/>
      </c>
      <c r="U659" s="305" t="str">
        <f t="shared" si="204"/>
        <v/>
      </c>
      <c r="V659" s="305" t="str">
        <f t="shared" si="205"/>
        <v/>
      </c>
      <c r="W659" s="314" t="str">
        <f t="shared" si="206"/>
        <v/>
      </c>
      <c r="X659" s="314" t="str">
        <f t="shared" si="207"/>
        <v/>
      </c>
      <c r="Y659" s="326" t="str">
        <f t="shared" si="193"/>
        <v/>
      </c>
    </row>
    <row r="660" spans="7:25" x14ac:dyDescent="0.25">
      <c r="G660" s="303">
        <f t="shared" si="190"/>
        <v>0</v>
      </c>
      <c r="H660" s="304">
        <f t="shared" si="194"/>
        <v>653</v>
      </c>
      <c r="I660" s="305" t="str">
        <f t="shared" si="196"/>
        <v/>
      </c>
      <c r="J660" s="305" t="str">
        <f t="shared" si="197"/>
        <v/>
      </c>
      <c r="K660" s="305" t="str">
        <f t="shared" si="198"/>
        <v/>
      </c>
      <c r="L660" s="305" t="str">
        <f t="shared" si="199"/>
        <v/>
      </c>
      <c r="M660" s="314" t="str">
        <f t="shared" si="200"/>
        <v/>
      </c>
      <c r="N660" s="305" t="str">
        <f t="shared" si="201"/>
        <v/>
      </c>
      <c r="O660" s="327" t="e">
        <f t="shared" si="192"/>
        <v>#NUM!</v>
      </c>
      <c r="P660" s="305"/>
      <c r="Q660" s="303">
        <f t="shared" si="191"/>
        <v>0</v>
      </c>
      <c r="R660" s="304">
        <f t="shared" si="195"/>
        <v>-553</v>
      </c>
      <c r="S660" s="305" t="str">
        <f t="shared" si="202"/>
        <v/>
      </c>
      <c r="T660" s="305" t="str">
        <f t="shared" si="203"/>
        <v/>
      </c>
      <c r="U660" s="305" t="str">
        <f t="shared" si="204"/>
        <v/>
      </c>
      <c r="V660" s="305" t="str">
        <f t="shared" si="205"/>
        <v/>
      </c>
      <c r="W660" s="314" t="str">
        <f t="shared" si="206"/>
        <v/>
      </c>
      <c r="X660" s="314" t="str">
        <f t="shared" si="207"/>
        <v/>
      </c>
      <c r="Y660" s="326" t="str">
        <f t="shared" si="193"/>
        <v/>
      </c>
    </row>
    <row r="661" spans="7:25" x14ac:dyDescent="0.25">
      <c r="G661" s="303">
        <f t="shared" si="190"/>
        <v>0</v>
      </c>
      <c r="H661" s="304">
        <f t="shared" si="194"/>
        <v>654</v>
      </c>
      <c r="I661" s="305" t="str">
        <f t="shared" si="196"/>
        <v/>
      </c>
      <c r="J661" s="305" t="str">
        <f t="shared" si="197"/>
        <v/>
      </c>
      <c r="K661" s="305" t="str">
        <f t="shared" si="198"/>
        <v/>
      </c>
      <c r="L661" s="305" t="str">
        <f t="shared" si="199"/>
        <v/>
      </c>
      <c r="M661" s="314" t="str">
        <f t="shared" si="200"/>
        <v/>
      </c>
      <c r="N661" s="305" t="str">
        <f t="shared" si="201"/>
        <v/>
      </c>
      <c r="O661" s="327" t="e">
        <f t="shared" si="192"/>
        <v>#NUM!</v>
      </c>
      <c r="P661" s="305"/>
      <c r="Q661" s="303">
        <f t="shared" si="191"/>
        <v>0</v>
      </c>
      <c r="R661" s="304">
        <f t="shared" si="195"/>
        <v>-554</v>
      </c>
      <c r="S661" s="305" t="str">
        <f t="shared" si="202"/>
        <v/>
      </c>
      <c r="T661" s="305" t="str">
        <f t="shared" si="203"/>
        <v/>
      </c>
      <c r="U661" s="305" t="str">
        <f t="shared" si="204"/>
        <v/>
      </c>
      <c r="V661" s="305" t="str">
        <f t="shared" si="205"/>
        <v/>
      </c>
      <c r="W661" s="314" t="str">
        <f t="shared" si="206"/>
        <v/>
      </c>
      <c r="X661" s="314" t="str">
        <f t="shared" si="207"/>
        <v/>
      </c>
      <c r="Y661" s="326" t="str">
        <f t="shared" si="193"/>
        <v/>
      </c>
    </row>
    <row r="662" spans="7:25" x14ac:dyDescent="0.25">
      <c r="G662" s="303">
        <f t="shared" si="190"/>
        <v>0</v>
      </c>
      <c r="H662" s="304">
        <f t="shared" si="194"/>
        <v>655</v>
      </c>
      <c r="I662" s="305" t="str">
        <f t="shared" si="196"/>
        <v/>
      </c>
      <c r="J662" s="305" t="str">
        <f t="shared" si="197"/>
        <v/>
      </c>
      <c r="K662" s="305" t="str">
        <f t="shared" si="198"/>
        <v/>
      </c>
      <c r="L662" s="305" t="str">
        <f t="shared" si="199"/>
        <v/>
      </c>
      <c r="M662" s="314" t="str">
        <f t="shared" si="200"/>
        <v/>
      </c>
      <c r="N662" s="305" t="str">
        <f t="shared" si="201"/>
        <v/>
      </c>
      <c r="O662" s="327" t="e">
        <f t="shared" si="192"/>
        <v>#NUM!</v>
      </c>
      <c r="P662" s="305"/>
      <c r="Q662" s="303">
        <f t="shared" si="191"/>
        <v>0</v>
      </c>
      <c r="R662" s="304">
        <f t="shared" si="195"/>
        <v>-555</v>
      </c>
      <c r="S662" s="305" t="str">
        <f t="shared" si="202"/>
        <v/>
      </c>
      <c r="T662" s="305" t="str">
        <f t="shared" si="203"/>
        <v/>
      </c>
      <c r="U662" s="305" t="str">
        <f t="shared" si="204"/>
        <v/>
      </c>
      <c r="V662" s="305" t="str">
        <f t="shared" si="205"/>
        <v/>
      </c>
      <c r="W662" s="314" t="str">
        <f t="shared" si="206"/>
        <v/>
      </c>
      <c r="X662" s="314" t="str">
        <f t="shared" si="207"/>
        <v/>
      </c>
      <c r="Y662" s="326" t="str">
        <f t="shared" si="193"/>
        <v/>
      </c>
    </row>
    <row r="663" spans="7:25" x14ac:dyDescent="0.25">
      <c r="G663" s="303">
        <f t="shared" si="190"/>
        <v>0</v>
      </c>
      <c r="H663" s="304">
        <f t="shared" si="194"/>
        <v>656</v>
      </c>
      <c r="I663" s="305" t="str">
        <f t="shared" si="196"/>
        <v/>
      </c>
      <c r="J663" s="305" t="str">
        <f t="shared" si="197"/>
        <v/>
      </c>
      <c r="K663" s="305" t="str">
        <f t="shared" si="198"/>
        <v/>
      </c>
      <c r="L663" s="305" t="str">
        <f t="shared" si="199"/>
        <v/>
      </c>
      <c r="M663" s="314" t="str">
        <f t="shared" si="200"/>
        <v/>
      </c>
      <c r="N663" s="305" t="str">
        <f t="shared" si="201"/>
        <v/>
      </c>
      <c r="O663" s="327" t="e">
        <f t="shared" si="192"/>
        <v>#NUM!</v>
      </c>
      <c r="P663" s="305"/>
      <c r="Q663" s="303">
        <f t="shared" si="191"/>
        <v>0</v>
      </c>
      <c r="R663" s="304">
        <f t="shared" si="195"/>
        <v>-556</v>
      </c>
      <c r="S663" s="305" t="str">
        <f t="shared" si="202"/>
        <v/>
      </c>
      <c r="T663" s="305" t="str">
        <f t="shared" si="203"/>
        <v/>
      </c>
      <c r="U663" s="305" t="str">
        <f t="shared" si="204"/>
        <v/>
      </c>
      <c r="V663" s="305" t="str">
        <f t="shared" si="205"/>
        <v/>
      </c>
      <c r="W663" s="314" t="str">
        <f t="shared" si="206"/>
        <v/>
      </c>
      <c r="X663" s="314" t="str">
        <f t="shared" si="207"/>
        <v/>
      </c>
      <c r="Y663" s="326" t="str">
        <f t="shared" si="193"/>
        <v/>
      </c>
    </row>
    <row r="664" spans="7:25" x14ac:dyDescent="0.25">
      <c r="G664" s="303">
        <f t="shared" si="190"/>
        <v>0</v>
      </c>
      <c r="H664" s="304">
        <f t="shared" si="194"/>
        <v>657</v>
      </c>
      <c r="I664" s="305" t="str">
        <f t="shared" si="196"/>
        <v/>
      </c>
      <c r="J664" s="305" t="str">
        <f t="shared" si="197"/>
        <v/>
      </c>
      <c r="K664" s="305" t="str">
        <f t="shared" si="198"/>
        <v/>
      </c>
      <c r="L664" s="305" t="str">
        <f t="shared" si="199"/>
        <v/>
      </c>
      <c r="M664" s="314" t="str">
        <f t="shared" si="200"/>
        <v/>
      </c>
      <c r="N664" s="305" t="str">
        <f t="shared" si="201"/>
        <v/>
      </c>
      <c r="O664" s="327" t="e">
        <f t="shared" si="192"/>
        <v>#NUM!</v>
      </c>
      <c r="P664" s="305"/>
      <c r="Q664" s="303">
        <f t="shared" si="191"/>
        <v>0</v>
      </c>
      <c r="R664" s="304">
        <f t="shared" si="195"/>
        <v>-557</v>
      </c>
      <c r="S664" s="305" t="str">
        <f t="shared" si="202"/>
        <v/>
      </c>
      <c r="T664" s="305" t="str">
        <f t="shared" si="203"/>
        <v/>
      </c>
      <c r="U664" s="305" t="str">
        <f t="shared" si="204"/>
        <v/>
      </c>
      <c r="V664" s="305" t="str">
        <f t="shared" si="205"/>
        <v/>
      </c>
      <c r="W664" s="314" t="str">
        <f t="shared" si="206"/>
        <v/>
      </c>
      <c r="X664" s="314" t="str">
        <f t="shared" si="207"/>
        <v/>
      </c>
      <c r="Y664" s="326" t="str">
        <f t="shared" si="193"/>
        <v/>
      </c>
    </row>
    <row r="665" spans="7:25" x14ac:dyDescent="0.25">
      <c r="G665" s="303">
        <f t="shared" si="190"/>
        <v>0</v>
      </c>
      <c r="H665" s="304">
        <f t="shared" si="194"/>
        <v>658</v>
      </c>
      <c r="I665" s="305" t="str">
        <f t="shared" si="196"/>
        <v/>
      </c>
      <c r="J665" s="305" t="str">
        <f t="shared" si="197"/>
        <v/>
      </c>
      <c r="K665" s="305" t="str">
        <f t="shared" si="198"/>
        <v/>
      </c>
      <c r="L665" s="305" t="str">
        <f t="shared" si="199"/>
        <v/>
      </c>
      <c r="M665" s="314" t="str">
        <f t="shared" si="200"/>
        <v/>
      </c>
      <c r="N665" s="305" t="str">
        <f t="shared" si="201"/>
        <v/>
      </c>
      <c r="O665" s="327" t="e">
        <f t="shared" si="192"/>
        <v>#NUM!</v>
      </c>
      <c r="P665" s="305"/>
      <c r="Q665" s="303">
        <f t="shared" si="191"/>
        <v>0</v>
      </c>
      <c r="R665" s="304">
        <f t="shared" si="195"/>
        <v>-558</v>
      </c>
      <c r="S665" s="305" t="str">
        <f t="shared" si="202"/>
        <v/>
      </c>
      <c r="T665" s="305" t="str">
        <f t="shared" si="203"/>
        <v/>
      </c>
      <c r="U665" s="305" t="str">
        <f t="shared" si="204"/>
        <v/>
      </c>
      <c r="V665" s="305" t="str">
        <f t="shared" si="205"/>
        <v/>
      </c>
      <c r="W665" s="314" t="str">
        <f t="shared" si="206"/>
        <v/>
      </c>
      <c r="X665" s="314" t="str">
        <f t="shared" si="207"/>
        <v/>
      </c>
      <c r="Y665" s="326" t="str">
        <f t="shared" si="193"/>
        <v/>
      </c>
    </row>
    <row r="666" spans="7:25" x14ac:dyDescent="0.25">
      <c r="G666" s="303">
        <f t="shared" si="190"/>
        <v>0</v>
      </c>
      <c r="H666" s="304">
        <f t="shared" si="194"/>
        <v>659</v>
      </c>
      <c r="I666" s="305" t="str">
        <f t="shared" si="196"/>
        <v/>
      </c>
      <c r="J666" s="305" t="str">
        <f t="shared" si="197"/>
        <v/>
      </c>
      <c r="K666" s="305" t="str">
        <f t="shared" si="198"/>
        <v/>
      </c>
      <c r="L666" s="305" t="str">
        <f t="shared" si="199"/>
        <v/>
      </c>
      <c r="M666" s="314" t="str">
        <f t="shared" si="200"/>
        <v/>
      </c>
      <c r="N666" s="305" t="str">
        <f t="shared" si="201"/>
        <v/>
      </c>
      <c r="O666" s="327" t="e">
        <f t="shared" si="192"/>
        <v>#NUM!</v>
      </c>
      <c r="P666" s="305"/>
      <c r="Q666" s="303">
        <f t="shared" si="191"/>
        <v>0</v>
      </c>
      <c r="R666" s="304">
        <f t="shared" si="195"/>
        <v>-559</v>
      </c>
      <c r="S666" s="305" t="str">
        <f t="shared" si="202"/>
        <v/>
      </c>
      <c r="T666" s="305" t="str">
        <f t="shared" si="203"/>
        <v/>
      </c>
      <c r="U666" s="305" t="str">
        <f t="shared" si="204"/>
        <v/>
      </c>
      <c r="V666" s="305" t="str">
        <f t="shared" si="205"/>
        <v/>
      </c>
      <c r="W666" s="314" t="str">
        <f t="shared" si="206"/>
        <v/>
      </c>
      <c r="X666" s="314" t="str">
        <f t="shared" si="207"/>
        <v/>
      </c>
      <c r="Y666" s="326" t="str">
        <f t="shared" si="193"/>
        <v/>
      </c>
    </row>
    <row r="667" spans="7:25" x14ac:dyDescent="0.25">
      <c r="G667" s="303">
        <f t="shared" si="190"/>
        <v>0</v>
      </c>
      <c r="H667" s="304">
        <f t="shared" si="194"/>
        <v>660</v>
      </c>
      <c r="I667" s="305" t="str">
        <f t="shared" si="196"/>
        <v/>
      </c>
      <c r="J667" s="305" t="str">
        <f t="shared" si="197"/>
        <v/>
      </c>
      <c r="K667" s="305" t="str">
        <f t="shared" si="198"/>
        <v/>
      </c>
      <c r="L667" s="305" t="str">
        <f t="shared" si="199"/>
        <v/>
      </c>
      <c r="M667" s="314" t="str">
        <f t="shared" si="200"/>
        <v/>
      </c>
      <c r="N667" s="305" t="str">
        <f t="shared" si="201"/>
        <v/>
      </c>
      <c r="O667" s="327" t="e">
        <f t="shared" si="192"/>
        <v>#NUM!</v>
      </c>
      <c r="P667" s="305"/>
      <c r="Q667" s="303">
        <f t="shared" si="191"/>
        <v>0</v>
      </c>
      <c r="R667" s="304">
        <f t="shared" si="195"/>
        <v>-560</v>
      </c>
      <c r="S667" s="305" t="str">
        <f t="shared" si="202"/>
        <v/>
      </c>
      <c r="T667" s="305" t="str">
        <f t="shared" si="203"/>
        <v/>
      </c>
      <c r="U667" s="305" t="str">
        <f t="shared" si="204"/>
        <v/>
      </c>
      <c r="V667" s="305" t="str">
        <f t="shared" si="205"/>
        <v/>
      </c>
      <c r="W667" s="314" t="str">
        <f t="shared" si="206"/>
        <v/>
      </c>
      <c r="X667" s="314" t="str">
        <f t="shared" si="207"/>
        <v/>
      </c>
      <c r="Y667" s="326" t="str">
        <f t="shared" si="193"/>
        <v/>
      </c>
    </row>
    <row r="668" spans="7:25" x14ac:dyDescent="0.25">
      <c r="G668" s="303">
        <f t="shared" si="190"/>
        <v>0</v>
      </c>
      <c r="H668" s="304">
        <f t="shared" si="194"/>
        <v>661</v>
      </c>
      <c r="I668" s="305" t="str">
        <f t="shared" si="196"/>
        <v/>
      </c>
      <c r="J668" s="305" t="str">
        <f t="shared" si="197"/>
        <v/>
      </c>
      <c r="K668" s="305" t="str">
        <f t="shared" si="198"/>
        <v/>
      </c>
      <c r="L668" s="305" t="str">
        <f t="shared" si="199"/>
        <v/>
      </c>
      <c r="M668" s="314" t="str">
        <f t="shared" si="200"/>
        <v/>
      </c>
      <c r="N668" s="305" t="str">
        <f t="shared" si="201"/>
        <v/>
      </c>
      <c r="O668" s="327" t="e">
        <f t="shared" si="192"/>
        <v>#NUM!</v>
      </c>
      <c r="P668" s="305"/>
      <c r="Q668" s="303">
        <f t="shared" si="191"/>
        <v>0</v>
      </c>
      <c r="R668" s="304">
        <f t="shared" si="195"/>
        <v>-561</v>
      </c>
      <c r="S668" s="305" t="str">
        <f t="shared" si="202"/>
        <v/>
      </c>
      <c r="T668" s="305" t="str">
        <f t="shared" si="203"/>
        <v/>
      </c>
      <c r="U668" s="305" t="str">
        <f t="shared" si="204"/>
        <v/>
      </c>
      <c r="V668" s="305" t="str">
        <f t="shared" si="205"/>
        <v/>
      </c>
      <c r="W668" s="314" t="str">
        <f t="shared" si="206"/>
        <v/>
      </c>
      <c r="X668" s="314" t="str">
        <f t="shared" si="207"/>
        <v/>
      </c>
      <c r="Y668" s="326" t="str">
        <f t="shared" si="193"/>
        <v/>
      </c>
    </row>
    <row r="669" spans="7:25" x14ac:dyDescent="0.25">
      <c r="G669" s="303">
        <f t="shared" si="190"/>
        <v>0</v>
      </c>
      <c r="H669" s="304">
        <f t="shared" si="194"/>
        <v>662</v>
      </c>
      <c r="I669" s="305" t="str">
        <f t="shared" si="196"/>
        <v/>
      </c>
      <c r="J669" s="305" t="str">
        <f t="shared" si="197"/>
        <v/>
      </c>
      <c r="K669" s="305" t="str">
        <f t="shared" si="198"/>
        <v/>
      </c>
      <c r="L669" s="305" t="str">
        <f t="shared" si="199"/>
        <v/>
      </c>
      <c r="M669" s="314" t="str">
        <f t="shared" si="200"/>
        <v/>
      </c>
      <c r="N669" s="305" t="str">
        <f t="shared" si="201"/>
        <v/>
      </c>
      <c r="O669" s="327" t="e">
        <f t="shared" si="192"/>
        <v>#NUM!</v>
      </c>
      <c r="P669" s="305"/>
      <c r="Q669" s="303">
        <f t="shared" si="191"/>
        <v>0</v>
      </c>
      <c r="R669" s="304">
        <f t="shared" si="195"/>
        <v>-562</v>
      </c>
      <c r="S669" s="305" t="str">
        <f t="shared" si="202"/>
        <v/>
      </c>
      <c r="T669" s="305" t="str">
        <f t="shared" si="203"/>
        <v/>
      </c>
      <c r="U669" s="305" t="str">
        <f t="shared" si="204"/>
        <v/>
      </c>
      <c r="V669" s="305" t="str">
        <f t="shared" si="205"/>
        <v/>
      </c>
      <c r="W669" s="314" t="str">
        <f t="shared" si="206"/>
        <v/>
      </c>
      <c r="X669" s="314" t="str">
        <f t="shared" si="207"/>
        <v/>
      </c>
      <c r="Y669" s="326" t="str">
        <f t="shared" si="193"/>
        <v/>
      </c>
    </row>
    <row r="670" spans="7:25" x14ac:dyDescent="0.25">
      <c r="G670" s="303">
        <f t="shared" si="190"/>
        <v>0</v>
      </c>
      <c r="H670" s="304">
        <f t="shared" si="194"/>
        <v>663</v>
      </c>
      <c r="I670" s="305" t="str">
        <f t="shared" si="196"/>
        <v/>
      </c>
      <c r="J670" s="305" t="str">
        <f t="shared" si="197"/>
        <v/>
      </c>
      <c r="K670" s="305" t="str">
        <f t="shared" si="198"/>
        <v/>
      </c>
      <c r="L670" s="305" t="str">
        <f t="shared" si="199"/>
        <v/>
      </c>
      <c r="M670" s="314" t="str">
        <f t="shared" si="200"/>
        <v/>
      </c>
      <c r="N670" s="305" t="str">
        <f t="shared" si="201"/>
        <v/>
      </c>
      <c r="O670" s="327" t="e">
        <f t="shared" si="192"/>
        <v>#NUM!</v>
      </c>
      <c r="P670" s="305"/>
      <c r="Q670" s="303">
        <f t="shared" si="191"/>
        <v>0</v>
      </c>
      <c r="R670" s="304">
        <f t="shared" si="195"/>
        <v>-563</v>
      </c>
      <c r="S670" s="305" t="str">
        <f t="shared" si="202"/>
        <v/>
      </c>
      <c r="T670" s="305" t="str">
        <f t="shared" si="203"/>
        <v/>
      </c>
      <c r="U670" s="305" t="str">
        <f t="shared" si="204"/>
        <v/>
      </c>
      <c r="V670" s="305" t="str">
        <f t="shared" si="205"/>
        <v/>
      </c>
      <c r="W670" s="314" t="str">
        <f t="shared" si="206"/>
        <v/>
      </c>
      <c r="X670" s="314" t="str">
        <f t="shared" si="207"/>
        <v/>
      </c>
      <c r="Y670" s="326" t="str">
        <f t="shared" si="193"/>
        <v/>
      </c>
    </row>
    <row r="671" spans="7:25" x14ac:dyDescent="0.25">
      <c r="G671" s="303">
        <f t="shared" si="190"/>
        <v>0</v>
      </c>
      <c r="H671" s="304">
        <f t="shared" si="194"/>
        <v>664</v>
      </c>
      <c r="I671" s="305" t="str">
        <f t="shared" si="196"/>
        <v/>
      </c>
      <c r="J671" s="305" t="str">
        <f t="shared" si="197"/>
        <v/>
      </c>
      <c r="K671" s="305" t="str">
        <f t="shared" si="198"/>
        <v/>
      </c>
      <c r="L671" s="305" t="str">
        <f t="shared" si="199"/>
        <v/>
      </c>
      <c r="M671" s="314" t="str">
        <f t="shared" si="200"/>
        <v/>
      </c>
      <c r="N671" s="305" t="str">
        <f t="shared" si="201"/>
        <v/>
      </c>
      <c r="O671" s="327" t="e">
        <f t="shared" si="192"/>
        <v>#NUM!</v>
      </c>
      <c r="P671" s="305"/>
      <c r="Q671" s="303">
        <f t="shared" si="191"/>
        <v>0</v>
      </c>
      <c r="R671" s="304">
        <f t="shared" si="195"/>
        <v>-564</v>
      </c>
      <c r="S671" s="305" t="str">
        <f t="shared" si="202"/>
        <v/>
      </c>
      <c r="T671" s="305" t="str">
        <f t="shared" si="203"/>
        <v/>
      </c>
      <c r="U671" s="305" t="str">
        <f t="shared" si="204"/>
        <v/>
      </c>
      <c r="V671" s="305" t="str">
        <f t="shared" si="205"/>
        <v/>
      </c>
      <c r="W671" s="314" t="str">
        <f t="shared" si="206"/>
        <v/>
      </c>
      <c r="X671" s="314" t="str">
        <f t="shared" si="207"/>
        <v/>
      </c>
      <c r="Y671" s="326" t="str">
        <f t="shared" si="193"/>
        <v/>
      </c>
    </row>
    <row r="672" spans="7:25" x14ac:dyDescent="0.25">
      <c r="G672" s="303">
        <f t="shared" si="190"/>
        <v>0</v>
      </c>
      <c r="H672" s="304">
        <f t="shared" si="194"/>
        <v>665</v>
      </c>
      <c r="I672" s="305" t="str">
        <f t="shared" si="196"/>
        <v/>
      </c>
      <c r="J672" s="305" t="str">
        <f t="shared" si="197"/>
        <v/>
      </c>
      <c r="K672" s="305" t="str">
        <f t="shared" si="198"/>
        <v/>
      </c>
      <c r="L672" s="305" t="str">
        <f t="shared" si="199"/>
        <v/>
      </c>
      <c r="M672" s="314" t="str">
        <f t="shared" si="200"/>
        <v/>
      </c>
      <c r="N672" s="305" t="str">
        <f t="shared" si="201"/>
        <v/>
      </c>
      <c r="O672" s="327" t="e">
        <f t="shared" si="192"/>
        <v>#NUM!</v>
      </c>
      <c r="P672" s="305"/>
      <c r="Q672" s="303">
        <f t="shared" si="191"/>
        <v>0</v>
      </c>
      <c r="R672" s="304">
        <f t="shared" si="195"/>
        <v>-565</v>
      </c>
      <c r="S672" s="305" t="str">
        <f t="shared" si="202"/>
        <v/>
      </c>
      <c r="T672" s="305" t="str">
        <f t="shared" si="203"/>
        <v/>
      </c>
      <c r="U672" s="305" t="str">
        <f t="shared" si="204"/>
        <v/>
      </c>
      <c r="V672" s="305" t="str">
        <f t="shared" si="205"/>
        <v/>
      </c>
      <c r="W672" s="314" t="str">
        <f t="shared" si="206"/>
        <v/>
      </c>
      <c r="X672" s="314" t="str">
        <f t="shared" si="207"/>
        <v/>
      </c>
      <c r="Y672" s="326" t="str">
        <f t="shared" si="193"/>
        <v/>
      </c>
    </row>
    <row r="673" spans="7:25" x14ac:dyDescent="0.25">
      <c r="G673" s="303">
        <f t="shared" si="190"/>
        <v>0</v>
      </c>
      <c r="H673" s="304">
        <f t="shared" si="194"/>
        <v>666</v>
      </c>
      <c r="I673" s="305" t="str">
        <f t="shared" si="196"/>
        <v/>
      </c>
      <c r="J673" s="305" t="str">
        <f t="shared" si="197"/>
        <v/>
      </c>
      <c r="K673" s="305" t="str">
        <f t="shared" si="198"/>
        <v/>
      </c>
      <c r="L673" s="305" t="str">
        <f t="shared" si="199"/>
        <v/>
      </c>
      <c r="M673" s="314" t="str">
        <f t="shared" si="200"/>
        <v/>
      </c>
      <c r="N673" s="305" t="str">
        <f t="shared" si="201"/>
        <v/>
      </c>
      <c r="O673" s="327" t="e">
        <f t="shared" si="192"/>
        <v>#NUM!</v>
      </c>
      <c r="P673" s="305"/>
      <c r="Q673" s="303">
        <f t="shared" si="191"/>
        <v>0</v>
      </c>
      <c r="R673" s="304">
        <f t="shared" si="195"/>
        <v>-566</v>
      </c>
      <c r="S673" s="305" t="str">
        <f t="shared" si="202"/>
        <v/>
      </c>
      <c r="T673" s="305" t="str">
        <f t="shared" si="203"/>
        <v/>
      </c>
      <c r="U673" s="305" t="str">
        <f t="shared" si="204"/>
        <v/>
      </c>
      <c r="V673" s="305" t="str">
        <f t="shared" si="205"/>
        <v/>
      </c>
      <c r="W673" s="314" t="str">
        <f t="shared" si="206"/>
        <v/>
      </c>
      <c r="X673" s="314" t="str">
        <f t="shared" si="207"/>
        <v/>
      </c>
      <c r="Y673" s="326" t="str">
        <f t="shared" si="193"/>
        <v/>
      </c>
    </row>
    <row r="674" spans="7:25" x14ac:dyDescent="0.25">
      <c r="G674" s="303">
        <f t="shared" si="190"/>
        <v>0</v>
      </c>
      <c r="H674" s="304">
        <f t="shared" si="194"/>
        <v>667</v>
      </c>
      <c r="I674" s="305" t="str">
        <f t="shared" si="196"/>
        <v/>
      </c>
      <c r="J674" s="305" t="str">
        <f t="shared" si="197"/>
        <v/>
      </c>
      <c r="K674" s="305" t="str">
        <f t="shared" si="198"/>
        <v/>
      </c>
      <c r="L674" s="305" t="str">
        <f t="shared" si="199"/>
        <v/>
      </c>
      <c r="M674" s="314" t="str">
        <f t="shared" si="200"/>
        <v/>
      </c>
      <c r="N674" s="305" t="str">
        <f t="shared" si="201"/>
        <v/>
      </c>
      <c r="O674" s="327" t="e">
        <f t="shared" si="192"/>
        <v>#NUM!</v>
      </c>
      <c r="P674" s="305"/>
      <c r="Q674" s="303">
        <f t="shared" si="191"/>
        <v>0</v>
      </c>
      <c r="R674" s="304">
        <f t="shared" si="195"/>
        <v>-567</v>
      </c>
      <c r="S674" s="305" t="str">
        <f t="shared" si="202"/>
        <v/>
      </c>
      <c r="T674" s="305" t="str">
        <f t="shared" si="203"/>
        <v/>
      </c>
      <c r="U674" s="305" t="str">
        <f t="shared" si="204"/>
        <v/>
      </c>
      <c r="V674" s="305" t="str">
        <f t="shared" si="205"/>
        <v/>
      </c>
      <c r="W674" s="314" t="str">
        <f t="shared" si="206"/>
        <v/>
      </c>
      <c r="X674" s="314" t="str">
        <f t="shared" si="207"/>
        <v/>
      </c>
      <c r="Y674" s="326" t="str">
        <f t="shared" si="193"/>
        <v/>
      </c>
    </row>
    <row r="675" spans="7:25" x14ac:dyDescent="0.25">
      <c r="G675" s="303">
        <f t="shared" si="190"/>
        <v>0</v>
      </c>
      <c r="H675" s="304">
        <f t="shared" si="194"/>
        <v>668</v>
      </c>
      <c r="I675" s="305" t="str">
        <f t="shared" si="196"/>
        <v/>
      </c>
      <c r="J675" s="305" t="str">
        <f t="shared" si="197"/>
        <v/>
      </c>
      <c r="K675" s="305" t="str">
        <f t="shared" si="198"/>
        <v/>
      </c>
      <c r="L675" s="305" t="str">
        <f t="shared" si="199"/>
        <v/>
      </c>
      <c r="M675" s="314" t="str">
        <f t="shared" si="200"/>
        <v/>
      </c>
      <c r="N675" s="305" t="str">
        <f t="shared" si="201"/>
        <v/>
      </c>
      <c r="O675" s="327" t="e">
        <f t="shared" si="192"/>
        <v>#NUM!</v>
      </c>
      <c r="P675" s="305"/>
      <c r="Q675" s="303">
        <f t="shared" si="191"/>
        <v>0</v>
      </c>
      <c r="R675" s="304">
        <f t="shared" si="195"/>
        <v>-568</v>
      </c>
      <c r="S675" s="305" t="str">
        <f t="shared" si="202"/>
        <v/>
      </c>
      <c r="T675" s="305" t="str">
        <f t="shared" si="203"/>
        <v/>
      </c>
      <c r="U675" s="305" t="str">
        <f t="shared" si="204"/>
        <v/>
      </c>
      <c r="V675" s="305" t="str">
        <f t="shared" si="205"/>
        <v/>
      </c>
      <c r="W675" s="314" t="str">
        <f t="shared" si="206"/>
        <v/>
      </c>
      <c r="X675" s="314" t="str">
        <f t="shared" si="207"/>
        <v/>
      </c>
      <c r="Y675" s="326" t="str">
        <f t="shared" si="193"/>
        <v/>
      </c>
    </row>
    <row r="676" spans="7:25" x14ac:dyDescent="0.25">
      <c r="G676" s="303">
        <f t="shared" si="190"/>
        <v>0</v>
      </c>
      <c r="H676" s="304">
        <f t="shared" si="194"/>
        <v>669</v>
      </c>
      <c r="I676" s="305" t="str">
        <f t="shared" si="196"/>
        <v/>
      </c>
      <c r="J676" s="305" t="str">
        <f t="shared" si="197"/>
        <v/>
      </c>
      <c r="K676" s="305" t="str">
        <f t="shared" si="198"/>
        <v/>
      </c>
      <c r="L676" s="305" t="str">
        <f t="shared" si="199"/>
        <v/>
      </c>
      <c r="M676" s="314" t="str">
        <f t="shared" si="200"/>
        <v/>
      </c>
      <c r="N676" s="305" t="str">
        <f t="shared" si="201"/>
        <v/>
      </c>
      <c r="O676" s="327" t="e">
        <f t="shared" si="192"/>
        <v>#NUM!</v>
      </c>
      <c r="P676" s="305"/>
      <c r="Q676" s="303">
        <f t="shared" si="191"/>
        <v>0</v>
      </c>
      <c r="R676" s="304">
        <f t="shared" si="195"/>
        <v>-569</v>
      </c>
      <c r="S676" s="305" t="str">
        <f t="shared" si="202"/>
        <v/>
      </c>
      <c r="T676" s="305" t="str">
        <f t="shared" si="203"/>
        <v/>
      </c>
      <c r="U676" s="305" t="str">
        <f t="shared" si="204"/>
        <v/>
      </c>
      <c r="V676" s="305" t="str">
        <f t="shared" si="205"/>
        <v/>
      </c>
      <c r="W676" s="314" t="str">
        <f t="shared" si="206"/>
        <v/>
      </c>
      <c r="X676" s="314" t="str">
        <f t="shared" si="207"/>
        <v/>
      </c>
      <c r="Y676" s="326" t="str">
        <f t="shared" si="193"/>
        <v/>
      </c>
    </row>
    <row r="677" spans="7:25" x14ac:dyDescent="0.25">
      <c r="G677" s="303">
        <f t="shared" si="190"/>
        <v>0</v>
      </c>
      <c r="H677" s="304">
        <f t="shared" si="194"/>
        <v>670</v>
      </c>
      <c r="I677" s="305" t="str">
        <f t="shared" si="196"/>
        <v/>
      </c>
      <c r="J677" s="305" t="str">
        <f t="shared" si="197"/>
        <v/>
      </c>
      <c r="K677" s="305" t="str">
        <f t="shared" si="198"/>
        <v/>
      </c>
      <c r="L677" s="305" t="str">
        <f t="shared" si="199"/>
        <v/>
      </c>
      <c r="M677" s="314" t="str">
        <f t="shared" si="200"/>
        <v/>
      </c>
      <c r="N677" s="305" t="str">
        <f t="shared" si="201"/>
        <v/>
      </c>
      <c r="O677" s="327" t="e">
        <f t="shared" si="192"/>
        <v>#NUM!</v>
      </c>
      <c r="P677" s="305"/>
      <c r="Q677" s="303">
        <f t="shared" si="191"/>
        <v>0</v>
      </c>
      <c r="R677" s="304">
        <f t="shared" si="195"/>
        <v>-570</v>
      </c>
      <c r="S677" s="305" t="str">
        <f t="shared" si="202"/>
        <v/>
      </c>
      <c r="T677" s="305" t="str">
        <f t="shared" si="203"/>
        <v/>
      </c>
      <c r="U677" s="305" t="str">
        <f t="shared" si="204"/>
        <v/>
      </c>
      <c r="V677" s="305" t="str">
        <f t="shared" si="205"/>
        <v/>
      </c>
      <c r="W677" s="314" t="str">
        <f t="shared" si="206"/>
        <v/>
      </c>
      <c r="X677" s="314" t="str">
        <f t="shared" si="207"/>
        <v/>
      </c>
      <c r="Y677" s="326" t="str">
        <f t="shared" si="193"/>
        <v/>
      </c>
    </row>
    <row r="678" spans="7:25" x14ac:dyDescent="0.25">
      <c r="G678" s="303">
        <f t="shared" si="190"/>
        <v>0</v>
      </c>
      <c r="H678" s="304">
        <f t="shared" si="194"/>
        <v>671</v>
      </c>
      <c r="I678" s="305" t="str">
        <f t="shared" si="196"/>
        <v/>
      </c>
      <c r="J678" s="305" t="str">
        <f t="shared" si="197"/>
        <v/>
      </c>
      <c r="K678" s="305" t="str">
        <f t="shared" si="198"/>
        <v/>
      </c>
      <c r="L678" s="305" t="str">
        <f t="shared" si="199"/>
        <v/>
      </c>
      <c r="M678" s="314" t="str">
        <f t="shared" si="200"/>
        <v/>
      </c>
      <c r="N678" s="305" t="str">
        <f t="shared" si="201"/>
        <v/>
      </c>
      <c r="O678" s="327" t="e">
        <f t="shared" si="192"/>
        <v>#NUM!</v>
      </c>
      <c r="P678" s="305"/>
      <c r="Q678" s="303">
        <f t="shared" si="191"/>
        <v>0</v>
      </c>
      <c r="R678" s="304">
        <f t="shared" si="195"/>
        <v>-571</v>
      </c>
      <c r="S678" s="305" t="str">
        <f t="shared" si="202"/>
        <v/>
      </c>
      <c r="T678" s="305" t="str">
        <f t="shared" si="203"/>
        <v/>
      </c>
      <c r="U678" s="305" t="str">
        <f t="shared" si="204"/>
        <v/>
      </c>
      <c r="V678" s="305" t="str">
        <f t="shared" si="205"/>
        <v/>
      </c>
      <c r="W678" s="314" t="str">
        <f t="shared" si="206"/>
        <v/>
      </c>
      <c r="X678" s="314" t="str">
        <f t="shared" si="207"/>
        <v/>
      </c>
      <c r="Y678" s="326" t="str">
        <f t="shared" si="193"/>
        <v/>
      </c>
    </row>
    <row r="679" spans="7:25" x14ac:dyDescent="0.25">
      <c r="G679" s="303">
        <f t="shared" si="190"/>
        <v>0</v>
      </c>
      <c r="H679" s="304">
        <f t="shared" si="194"/>
        <v>672</v>
      </c>
      <c r="I679" s="305" t="str">
        <f t="shared" si="196"/>
        <v/>
      </c>
      <c r="J679" s="305" t="str">
        <f t="shared" si="197"/>
        <v/>
      </c>
      <c r="K679" s="305" t="str">
        <f t="shared" si="198"/>
        <v/>
      </c>
      <c r="L679" s="305" t="str">
        <f t="shared" si="199"/>
        <v/>
      </c>
      <c r="M679" s="314" t="str">
        <f t="shared" si="200"/>
        <v/>
      </c>
      <c r="N679" s="305" t="str">
        <f t="shared" si="201"/>
        <v/>
      </c>
      <c r="O679" s="327" t="e">
        <f t="shared" si="192"/>
        <v>#NUM!</v>
      </c>
      <c r="P679" s="305"/>
      <c r="Q679" s="303">
        <f t="shared" si="191"/>
        <v>0</v>
      </c>
      <c r="R679" s="304">
        <f t="shared" si="195"/>
        <v>-572</v>
      </c>
      <c r="S679" s="305" t="str">
        <f t="shared" si="202"/>
        <v/>
      </c>
      <c r="T679" s="305" t="str">
        <f t="shared" si="203"/>
        <v/>
      </c>
      <c r="U679" s="305" t="str">
        <f t="shared" si="204"/>
        <v/>
      </c>
      <c r="V679" s="305" t="str">
        <f t="shared" si="205"/>
        <v/>
      </c>
      <c r="W679" s="314" t="str">
        <f t="shared" si="206"/>
        <v/>
      </c>
      <c r="X679" s="314" t="str">
        <f t="shared" si="207"/>
        <v/>
      </c>
      <c r="Y679" s="326" t="str">
        <f t="shared" si="193"/>
        <v/>
      </c>
    </row>
    <row r="680" spans="7:25" x14ac:dyDescent="0.25">
      <c r="G680" s="303">
        <f t="shared" si="190"/>
        <v>0</v>
      </c>
      <c r="H680" s="304">
        <f t="shared" si="194"/>
        <v>673</v>
      </c>
      <c r="I680" s="305" t="str">
        <f t="shared" si="196"/>
        <v/>
      </c>
      <c r="J680" s="305" t="str">
        <f t="shared" si="197"/>
        <v/>
      </c>
      <c r="K680" s="305" t="str">
        <f t="shared" si="198"/>
        <v/>
      </c>
      <c r="L680" s="305" t="str">
        <f t="shared" si="199"/>
        <v/>
      </c>
      <c r="M680" s="314" t="str">
        <f t="shared" si="200"/>
        <v/>
      </c>
      <c r="N680" s="305" t="str">
        <f t="shared" si="201"/>
        <v/>
      </c>
      <c r="O680" s="327" t="e">
        <f t="shared" si="192"/>
        <v>#NUM!</v>
      </c>
      <c r="P680" s="305"/>
      <c r="Q680" s="303">
        <f t="shared" si="191"/>
        <v>0</v>
      </c>
      <c r="R680" s="304">
        <f t="shared" si="195"/>
        <v>-573</v>
      </c>
      <c r="S680" s="305" t="str">
        <f t="shared" si="202"/>
        <v/>
      </c>
      <c r="T680" s="305" t="str">
        <f t="shared" si="203"/>
        <v/>
      </c>
      <c r="U680" s="305" t="str">
        <f t="shared" si="204"/>
        <v/>
      </c>
      <c r="V680" s="305" t="str">
        <f t="shared" si="205"/>
        <v/>
      </c>
      <c r="W680" s="314" t="str">
        <f t="shared" si="206"/>
        <v/>
      </c>
      <c r="X680" s="314" t="str">
        <f t="shared" si="207"/>
        <v/>
      </c>
      <c r="Y680" s="326" t="str">
        <f t="shared" si="193"/>
        <v/>
      </c>
    </row>
    <row r="681" spans="7:25" x14ac:dyDescent="0.25">
      <c r="G681" s="303">
        <f t="shared" si="190"/>
        <v>0</v>
      </c>
      <c r="H681" s="304">
        <f t="shared" si="194"/>
        <v>674</v>
      </c>
      <c r="I681" s="305" t="str">
        <f t="shared" si="196"/>
        <v/>
      </c>
      <c r="J681" s="305" t="str">
        <f t="shared" si="197"/>
        <v/>
      </c>
      <c r="K681" s="305" t="str">
        <f t="shared" si="198"/>
        <v/>
      </c>
      <c r="L681" s="305" t="str">
        <f t="shared" si="199"/>
        <v/>
      </c>
      <c r="M681" s="314" t="str">
        <f t="shared" si="200"/>
        <v/>
      </c>
      <c r="N681" s="305" t="str">
        <f t="shared" si="201"/>
        <v/>
      </c>
      <c r="O681" s="327" t="e">
        <f t="shared" si="192"/>
        <v>#NUM!</v>
      </c>
      <c r="P681" s="305"/>
      <c r="Q681" s="303">
        <f t="shared" si="191"/>
        <v>0</v>
      </c>
      <c r="R681" s="304">
        <f t="shared" si="195"/>
        <v>-574</v>
      </c>
      <c r="S681" s="305" t="str">
        <f t="shared" si="202"/>
        <v/>
      </c>
      <c r="T681" s="305" t="str">
        <f t="shared" si="203"/>
        <v/>
      </c>
      <c r="U681" s="305" t="str">
        <f t="shared" si="204"/>
        <v/>
      </c>
      <c r="V681" s="305" t="str">
        <f t="shared" si="205"/>
        <v/>
      </c>
      <c r="W681" s="314" t="str">
        <f t="shared" si="206"/>
        <v/>
      </c>
      <c r="X681" s="314" t="str">
        <f t="shared" si="207"/>
        <v/>
      </c>
      <c r="Y681" s="326" t="str">
        <f t="shared" si="193"/>
        <v/>
      </c>
    </row>
    <row r="682" spans="7:25" x14ac:dyDescent="0.25">
      <c r="G682" s="303">
        <f t="shared" si="190"/>
        <v>0</v>
      </c>
      <c r="H682" s="304">
        <f t="shared" si="194"/>
        <v>675</v>
      </c>
      <c r="I682" s="305" t="str">
        <f t="shared" si="196"/>
        <v/>
      </c>
      <c r="J682" s="305" t="str">
        <f t="shared" si="197"/>
        <v/>
      </c>
      <c r="K682" s="305" t="str">
        <f t="shared" si="198"/>
        <v/>
      </c>
      <c r="L682" s="305" t="str">
        <f t="shared" si="199"/>
        <v/>
      </c>
      <c r="M682" s="314" t="str">
        <f t="shared" si="200"/>
        <v/>
      </c>
      <c r="N682" s="305" t="str">
        <f t="shared" si="201"/>
        <v/>
      </c>
      <c r="O682" s="327" t="e">
        <f t="shared" si="192"/>
        <v>#NUM!</v>
      </c>
      <c r="P682" s="305"/>
      <c r="Q682" s="303">
        <f t="shared" si="191"/>
        <v>0</v>
      </c>
      <c r="R682" s="304">
        <f t="shared" si="195"/>
        <v>-575</v>
      </c>
      <c r="S682" s="305" t="str">
        <f t="shared" si="202"/>
        <v/>
      </c>
      <c r="T682" s="305" t="str">
        <f t="shared" si="203"/>
        <v/>
      </c>
      <c r="U682" s="305" t="str">
        <f t="shared" si="204"/>
        <v/>
      </c>
      <c r="V682" s="305" t="str">
        <f t="shared" si="205"/>
        <v/>
      </c>
      <c r="W682" s="314" t="str">
        <f t="shared" si="206"/>
        <v/>
      </c>
      <c r="X682" s="314" t="str">
        <f t="shared" si="207"/>
        <v/>
      </c>
      <c r="Y682" s="326" t="str">
        <f t="shared" si="193"/>
        <v/>
      </c>
    </row>
    <row r="683" spans="7:25" x14ac:dyDescent="0.25">
      <c r="G683" s="303">
        <f t="shared" si="190"/>
        <v>0</v>
      </c>
      <c r="H683" s="304">
        <f t="shared" si="194"/>
        <v>676</v>
      </c>
      <c r="I683" s="305" t="str">
        <f t="shared" si="196"/>
        <v/>
      </c>
      <c r="J683" s="305" t="str">
        <f t="shared" si="197"/>
        <v/>
      </c>
      <c r="K683" s="305" t="str">
        <f t="shared" si="198"/>
        <v/>
      </c>
      <c r="L683" s="305" t="str">
        <f t="shared" si="199"/>
        <v/>
      </c>
      <c r="M683" s="314" t="str">
        <f t="shared" si="200"/>
        <v/>
      </c>
      <c r="N683" s="305" t="str">
        <f t="shared" si="201"/>
        <v/>
      </c>
      <c r="O683" s="327" t="e">
        <f t="shared" si="192"/>
        <v>#NUM!</v>
      </c>
      <c r="P683" s="305"/>
      <c r="Q683" s="303">
        <f t="shared" si="191"/>
        <v>0</v>
      </c>
      <c r="R683" s="304">
        <f t="shared" si="195"/>
        <v>-576</v>
      </c>
      <c r="S683" s="305" t="str">
        <f t="shared" si="202"/>
        <v/>
      </c>
      <c r="T683" s="305" t="str">
        <f t="shared" si="203"/>
        <v/>
      </c>
      <c r="U683" s="305" t="str">
        <f t="shared" si="204"/>
        <v/>
      </c>
      <c r="V683" s="305" t="str">
        <f t="shared" si="205"/>
        <v/>
      </c>
      <c r="W683" s="314" t="str">
        <f t="shared" si="206"/>
        <v/>
      </c>
      <c r="X683" s="314" t="str">
        <f t="shared" si="207"/>
        <v/>
      </c>
      <c r="Y683" s="326" t="str">
        <f t="shared" si="193"/>
        <v/>
      </c>
    </row>
    <row r="684" spans="7:25" x14ac:dyDescent="0.25">
      <c r="G684" s="303">
        <f t="shared" si="190"/>
        <v>0</v>
      </c>
      <c r="H684" s="304">
        <f t="shared" si="194"/>
        <v>677</v>
      </c>
      <c r="I684" s="305" t="str">
        <f t="shared" si="196"/>
        <v/>
      </c>
      <c r="J684" s="305" t="str">
        <f t="shared" si="197"/>
        <v/>
      </c>
      <c r="K684" s="305" t="str">
        <f t="shared" si="198"/>
        <v/>
      </c>
      <c r="L684" s="305" t="str">
        <f t="shared" si="199"/>
        <v/>
      </c>
      <c r="M684" s="314" t="str">
        <f t="shared" si="200"/>
        <v/>
      </c>
      <c r="N684" s="305" t="str">
        <f t="shared" si="201"/>
        <v/>
      </c>
      <c r="O684" s="327" t="e">
        <f t="shared" si="192"/>
        <v>#NUM!</v>
      </c>
      <c r="P684" s="305"/>
      <c r="Q684" s="303">
        <f t="shared" si="191"/>
        <v>0</v>
      </c>
      <c r="R684" s="304">
        <f t="shared" si="195"/>
        <v>-577</v>
      </c>
      <c r="S684" s="305" t="str">
        <f t="shared" si="202"/>
        <v/>
      </c>
      <c r="T684" s="305" t="str">
        <f t="shared" si="203"/>
        <v/>
      </c>
      <c r="U684" s="305" t="str">
        <f t="shared" si="204"/>
        <v/>
      </c>
      <c r="V684" s="305" t="str">
        <f t="shared" si="205"/>
        <v/>
      </c>
      <c r="W684" s="314" t="str">
        <f t="shared" si="206"/>
        <v/>
      </c>
      <c r="X684" s="314" t="str">
        <f t="shared" si="207"/>
        <v/>
      </c>
      <c r="Y684" s="326" t="str">
        <f t="shared" si="193"/>
        <v/>
      </c>
    </row>
    <row r="685" spans="7:25" x14ac:dyDescent="0.25">
      <c r="G685" s="303">
        <f t="shared" si="190"/>
        <v>0</v>
      </c>
      <c r="H685" s="304">
        <f t="shared" si="194"/>
        <v>678</v>
      </c>
      <c r="I685" s="305" t="str">
        <f t="shared" si="196"/>
        <v/>
      </c>
      <c r="J685" s="305" t="str">
        <f t="shared" si="197"/>
        <v/>
      </c>
      <c r="K685" s="305" t="str">
        <f t="shared" si="198"/>
        <v/>
      </c>
      <c r="L685" s="305" t="str">
        <f t="shared" si="199"/>
        <v/>
      </c>
      <c r="M685" s="314" t="str">
        <f t="shared" si="200"/>
        <v/>
      </c>
      <c r="N685" s="305" t="str">
        <f t="shared" si="201"/>
        <v/>
      </c>
      <c r="O685" s="327" t="e">
        <f t="shared" si="192"/>
        <v>#NUM!</v>
      </c>
      <c r="P685" s="305"/>
      <c r="Q685" s="303">
        <f t="shared" si="191"/>
        <v>0</v>
      </c>
      <c r="R685" s="304">
        <f t="shared" si="195"/>
        <v>-578</v>
      </c>
      <c r="S685" s="305" t="str">
        <f t="shared" si="202"/>
        <v/>
      </c>
      <c r="T685" s="305" t="str">
        <f t="shared" si="203"/>
        <v/>
      </c>
      <c r="U685" s="305" t="str">
        <f t="shared" si="204"/>
        <v/>
      </c>
      <c r="V685" s="305" t="str">
        <f t="shared" si="205"/>
        <v/>
      </c>
      <c r="W685" s="314" t="str">
        <f t="shared" si="206"/>
        <v/>
      </c>
      <c r="X685" s="314" t="str">
        <f t="shared" si="207"/>
        <v/>
      </c>
      <c r="Y685" s="326" t="str">
        <f t="shared" si="193"/>
        <v/>
      </c>
    </row>
    <row r="686" spans="7:25" x14ac:dyDescent="0.25">
      <c r="G686" s="303">
        <f t="shared" si="190"/>
        <v>0</v>
      </c>
      <c r="H686" s="304">
        <f t="shared" si="194"/>
        <v>679</v>
      </c>
      <c r="I686" s="305" t="str">
        <f t="shared" si="196"/>
        <v/>
      </c>
      <c r="J686" s="305" t="str">
        <f t="shared" si="197"/>
        <v/>
      </c>
      <c r="K686" s="305" t="str">
        <f t="shared" si="198"/>
        <v/>
      </c>
      <c r="L686" s="305" t="str">
        <f t="shared" si="199"/>
        <v/>
      </c>
      <c r="M686" s="314" t="str">
        <f t="shared" si="200"/>
        <v/>
      </c>
      <c r="N686" s="305" t="str">
        <f t="shared" si="201"/>
        <v/>
      </c>
      <c r="O686" s="327" t="e">
        <f t="shared" si="192"/>
        <v>#NUM!</v>
      </c>
      <c r="P686" s="305"/>
      <c r="Q686" s="303">
        <f t="shared" si="191"/>
        <v>0</v>
      </c>
      <c r="R686" s="304">
        <f t="shared" si="195"/>
        <v>-579</v>
      </c>
      <c r="S686" s="305" t="str">
        <f t="shared" si="202"/>
        <v/>
      </c>
      <c r="T686" s="305" t="str">
        <f t="shared" si="203"/>
        <v/>
      </c>
      <c r="U686" s="305" t="str">
        <f t="shared" si="204"/>
        <v/>
      </c>
      <c r="V686" s="305" t="str">
        <f t="shared" si="205"/>
        <v/>
      </c>
      <c r="W686" s="314" t="str">
        <f t="shared" si="206"/>
        <v/>
      </c>
      <c r="X686" s="314" t="str">
        <f t="shared" si="207"/>
        <v/>
      </c>
      <c r="Y686" s="326" t="str">
        <f t="shared" si="193"/>
        <v/>
      </c>
    </row>
    <row r="687" spans="7:25" x14ac:dyDescent="0.25">
      <c r="G687" s="303">
        <f t="shared" si="190"/>
        <v>0</v>
      </c>
      <c r="H687" s="304">
        <f t="shared" si="194"/>
        <v>680</v>
      </c>
      <c r="I687" s="305" t="str">
        <f t="shared" si="196"/>
        <v/>
      </c>
      <c r="J687" s="305" t="str">
        <f t="shared" si="197"/>
        <v/>
      </c>
      <c r="K687" s="305" t="str">
        <f t="shared" si="198"/>
        <v/>
      </c>
      <c r="L687" s="305" t="str">
        <f t="shared" si="199"/>
        <v/>
      </c>
      <c r="M687" s="314" t="str">
        <f t="shared" si="200"/>
        <v/>
      </c>
      <c r="N687" s="305" t="str">
        <f t="shared" si="201"/>
        <v/>
      </c>
      <c r="O687" s="327" t="e">
        <f t="shared" si="192"/>
        <v>#NUM!</v>
      </c>
      <c r="P687" s="305"/>
      <c r="Q687" s="303">
        <f t="shared" si="191"/>
        <v>0</v>
      </c>
      <c r="R687" s="304">
        <f t="shared" si="195"/>
        <v>-580</v>
      </c>
      <c r="S687" s="305" t="str">
        <f t="shared" si="202"/>
        <v/>
      </c>
      <c r="T687" s="305" t="str">
        <f t="shared" si="203"/>
        <v/>
      </c>
      <c r="U687" s="305" t="str">
        <f t="shared" si="204"/>
        <v/>
      </c>
      <c r="V687" s="305" t="str">
        <f t="shared" si="205"/>
        <v/>
      </c>
      <c r="W687" s="314" t="str">
        <f t="shared" si="206"/>
        <v/>
      </c>
      <c r="X687" s="314" t="str">
        <f t="shared" si="207"/>
        <v/>
      </c>
      <c r="Y687" s="326" t="str">
        <f t="shared" si="193"/>
        <v/>
      </c>
    </row>
    <row r="688" spans="7:25" x14ac:dyDescent="0.25">
      <c r="G688" s="303">
        <f t="shared" si="190"/>
        <v>0</v>
      </c>
      <c r="H688" s="304">
        <f t="shared" si="194"/>
        <v>681</v>
      </c>
      <c r="I688" s="305" t="str">
        <f t="shared" si="196"/>
        <v/>
      </c>
      <c r="J688" s="305" t="str">
        <f t="shared" si="197"/>
        <v/>
      </c>
      <c r="K688" s="305" t="str">
        <f t="shared" si="198"/>
        <v/>
      </c>
      <c r="L688" s="305" t="str">
        <f t="shared" si="199"/>
        <v/>
      </c>
      <c r="M688" s="314" t="str">
        <f t="shared" si="200"/>
        <v/>
      </c>
      <c r="N688" s="305" t="str">
        <f t="shared" si="201"/>
        <v/>
      </c>
      <c r="O688" s="327" t="e">
        <f t="shared" si="192"/>
        <v>#NUM!</v>
      </c>
      <c r="P688" s="305"/>
      <c r="Q688" s="303">
        <f t="shared" si="191"/>
        <v>0</v>
      </c>
      <c r="R688" s="304">
        <f t="shared" si="195"/>
        <v>-581</v>
      </c>
      <c r="S688" s="305" t="str">
        <f t="shared" si="202"/>
        <v/>
      </c>
      <c r="T688" s="305" t="str">
        <f t="shared" si="203"/>
        <v/>
      </c>
      <c r="U688" s="305" t="str">
        <f t="shared" si="204"/>
        <v/>
      </c>
      <c r="V688" s="305" t="str">
        <f t="shared" si="205"/>
        <v/>
      </c>
      <c r="W688" s="314" t="str">
        <f t="shared" si="206"/>
        <v/>
      </c>
      <c r="X688" s="314" t="str">
        <f t="shared" si="207"/>
        <v/>
      </c>
      <c r="Y688" s="326" t="str">
        <f t="shared" si="193"/>
        <v/>
      </c>
    </row>
    <row r="689" spans="7:25" x14ac:dyDescent="0.25">
      <c r="G689" s="303">
        <f t="shared" si="190"/>
        <v>0</v>
      </c>
      <c r="H689" s="304">
        <f t="shared" si="194"/>
        <v>682</v>
      </c>
      <c r="I689" s="305" t="str">
        <f t="shared" si="196"/>
        <v/>
      </c>
      <c r="J689" s="305" t="str">
        <f t="shared" si="197"/>
        <v/>
      </c>
      <c r="K689" s="305" t="str">
        <f t="shared" si="198"/>
        <v/>
      </c>
      <c r="L689" s="305" t="str">
        <f t="shared" si="199"/>
        <v/>
      </c>
      <c r="M689" s="314" t="str">
        <f t="shared" si="200"/>
        <v/>
      </c>
      <c r="N689" s="305" t="str">
        <f t="shared" si="201"/>
        <v/>
      </c>
      <c r="O689" s="327" t="e">
        <f t="shared" si="192"/>
        <v>#NUM!</v>
      </c>
      <c r="P689" s="305"/>
      <c r="Q689" s="303">
        <f t="shared" si="191"/>
        <v>0</v>
      </c>
      <c r="R689" s="304">
        <f t="shared" si="195"/>
        <v>-582</v>
      </c>
      <c r="S689" s="305" t="str">
        <f t="shared" si="202"/>
        <v/>
      </c>
      <c r="T689" s="305" t="str">
        <f t="shared" si="203"/>
        <v/>
      </c>
      <c r="U689" s="305" t="str">
        <f t="shared" si="204"/>
        <v/>
      </c>
      <c r="V689" s="305" t="str">
        <f t="shared" si="205"/>
        <v/>
      </c>
      <c r="W689" s="314" t="str">
        <f t="shared" si="206"/>
        <v/>
      </c>
      <c r="X689" s="314" t="str">
        <f t="shared" si="207"/>
        <v/>
      </c>
      <c r="Y689" s="326" t="str">
        <f t="shared" si="193"/>
        <v/>
      </c>
    </row>
    <row r="690" spans="7:25" x14ac:dyDescent="0.25">
      <c r="G690" s="303">
        <f t="shared" si="190"/>
        <v>0</v>
      </c>
      <c r="H690" s="304">
        <f t="shared" si="194"/>
        <v>683</v>
      </c>
      <c r="I690" s="305" t="str">
        <f t="shared" si="196"/>
        <v/>
      </c>
      <c r="J690" s="305" t="str">
        <f t="shared" si="197"/>
        <v/>
      </c>
      <c r="K690" s="305" t="str">
        <f t="shared" si="198"/>
        <v/>
      </c>
      <c r="L690" s="305" t="str">
        <f t="shared" si="199"/>
        <v/>
      </c>
      <c r="M690" s="314" t="str">
        <f t="shared" si="200"/>
        <v/>
      </c>
      <c r="N690" s="305" t="str">
        <f t="shared" si="201"/>
        <v/>
      </c>
      <c r="O690" s="327" t="e">
        <f t="shared" si="192"/>
        <v>#NUM!</v>
      </c>
      <c r="P690" s="305"/>
      <c r="Q690" s="303">
        <f t="shared" si="191"/>
        <v>0</v>
      </c>
      <c r="R690" s="304">
        <f t="shared" si="195"/>
        <v>-583</v>
      </c>
      <c r="S690" s="305" t="str">
        <f t="shared" si="202"/>
        <v/>
      </c>
      <c r="T690" s="305" t="str">
        <f t="shared" si="203"/>
        <v/>
      </c>
      <c r="U690" s="305" t="str">
        <f t="shared" si="204"/>
        <v/>
      </c>
      <c r="V690" s="305" t="str">
        <f t="shared" si="205"/>
        <v/>
      </c>
      <c r="W690" s="314" t="str">
        <f t="shared" si="206"/>
        <v/>
      </c>
      <c r="X690" s="314" t="str">
        <f t="shared" si="207"/>
        <v/>
      </c>
      <c r="Y690" s="326" t="str">
        <f t="shared" si="193"/>
        <v/>
      </c>
    </row>
    <row r="691" spans="7:25" x14ac:dyDescent="0.25">
      <c r="G691" s="303">
        <f t="shared" si="190"/>
        <v>0</v>
      </c>
      <c r="H691" s="304">
        <f t="shared" si="194"/>
        <v>684</v>
      </c>
      <c r="I691" s="305" t="str">
        <f t="shared" si="196"/>
        <v/>
      </c>
      <c r="J691" s="305" t="str">
        <f t="shared" si="197"/>
        <v/>
      </c>
      <c r="K691" s="305" t="str">
        <f t="shared" si="198"/>
        <v/>
      </c>
      <c r="L691" s="305" t="str">
        <f t="shared" si="199"/>
        <v/>
      </c>
      <c r="M691" s="314" t="str">
        <f t="shared" si="200"/>
        <v/>
      </c>
      <c r="N691" s="305" t="str">
        <f t="shared" si="201"/>
        <v/>
      </c>
      <c r="O691" s="327" t="e">
        <f t="shared" si="192"/>
        <v>#NUM!</v>
      </c>
      <c r="P691" s="305"/>
      <c r="Q691" s="303">
        <f t="shared" si="191"/>
        <v>0</v>
      </c>
      <c r="R691" s="304">
        <f t="shared" si="195"/>
        <v>-584</v>
      </c>
      <c r="S691" s="305" t="str">
        <f t="shared" si="202"/>
        <v/>
      </c>
      <c r="T691" s="305" t="str">
        <f t="shared" si="203"/>
        <v/>
      </c>
      <c r="U691" s="305" t="str">
        <f t="shared" si="204"/>
        <v/>
      </c>
      <c r="V691" s="305" t="str">
        <f t="shared" si="205"/>
        <v/>
      </c>
      <c r="W691" s="314" t="str">
        <f t="shared" si="206"/>
        <v/>
      </c>
      <c r="X691" s="314" t="str">
        <f t="shared" si="207"/>
        <v/>
      </c>
      <c r="Y691" s="326" t="str">
        <f t="shared" si="193"/>
        <v/>
      </c>
    </row>
    <row r="692" spans="7:25" x14ac:dyDescent="0.25">
      <c r="G692" s="303">
        <f t="shared" si="190"/>
        <v>0</v>
      </c>
      <c r="H692" s="304">
        <f t="shared" si="194"/>
        <v>685</v>
      </c>
      <c r="I692" s="305" t="str">
        <f t="shared" si="196"/>
        <v/>
      </c>
      <c r="J692" s="305" t="str">
        <f t="shared" si="197"/>
        <v/>
      </c>
      <c r="K692" s="305" t="str">
        <f t="shared" si="198"/>
        <v/>
      </c>
      <c r="L692" s="305" t="str">
        <f t="shared" si="199"/>
        <v/>
      </c>
      <c r="M692" s="314" t="str">
        <f t="shared" si="200"/>
        <v/>
      </c>
      <c r="N692" s="305" t="str">
        <f t="shared" si="201"/>
        <v/>
      </c>
      <c r="O692" s="327" t="e">
        <f t="shared" si="192"/>
        <v>#NUM!</v>
      </c>
      <c r="P692" s="305"/>
      <c r="Q692" s="303">
        <f t="shared" si="191"/>
        <v>0</v>
      </c>
      <c r="R692" s="304">
        <f t="shared" si="195"/>
        <v>-585</v>
      </c>
      <c r="S692" s="305" t="str">
        <f t="shared" si="202"/>
        <v/>
      </c>
      <c r="T692" s="305" t="str">
        <f t="shared" si="203"/>
        <v/>
      </c>
      <c r="U692" s="305" t="str">
        <f t="shared" si="204"/>
        <v/>
      </c>
      <c r="V692" s="305" t="str">
        <f t="shared" si="205"/>
        <v/>
      </c>
      <c r="W692" s="314" t="str">
        <f t="shared" si="206"/>
        <v/>
      </c>
      <c r="X692" s="314" t="str">
        <f t="shared" si="207"/>
        <v/>
      </c>
      <c r="Y692" s="326" t="str">
        <f t="shared" si="193"/>
        <v/>
      </c>
    </row>
    <row r="693" spans="7:25" x14ac:dyDescent="0.25">
      <c r="G693" s="303">
        <f t="shared" si="190"/>
        <v>0</v>
      </c>
      <c r="H693" s="304">
        <f t="shared" si="194"/>
        <v>686</v>
      </c>
      <c r="I693" s="305" t="str">
        <f t="shared" si="196"/>
        <v/>
      </c>
      <c r="J693" s="305" t="str">
        <f t="shared" si="197"/>
        <v/>
      </c>
      <c r="K693" s="305" t="str">
        <f t="shared" si="198"/>
        <v/>
      </c>
      <c r="L693" s="305" t="str">
        <f t="shared" si="199"/>
        <v/>
      </c>
      <c r="M693" s="314" t="str">
        <f t="shared" si="200"/>
        <v/>
      </c>
      <c r="N693" s="305" t="str">
        <f t="shared" si="201"/>
        <v/>
      </c>
      <c r="O693" s="327" t="e">
        <f t="shared" si="192"/>
        <v>#NUM!</v>
      </c>
      <c r="P693" s="305"/>
      <c r="Q693" s="303">
        <f t="shared" si="191"/>
        <v>0</v>
      </c>
      <c r="R693" s="304">
        <f t="shared" si="195"/>
        <v>-586</v>
      </c>
      <c r="S693" s="305" t="str">
        <f t="shared" si="202"/>
        <v/>
      </c>
      <c r="T693" s="305" t="str">
        <f t="shared" si="203"/>
        <v/>
      </c>
      <c r="U693" s="305" t="str">
        <f t="shared" si="204"/>
        <v/>
      </c>
      <c r="V693" s="305" t="str">
        <f t="shared" si="205"/>
        <v/>
      </c>
      <c r="W693" s="314" t="str">
        <f t="shared" si="206"/>
        <v/>
      </c>
      <c r="X693" s="314" t="str">
        <f t="shared" si="207"/>
        <v/>
      </c>
      <c r="Y693" s="326" t="str">
        <f t="shared" si="193"/>
        <v/>
      </c>
    </row>
    <row r="694" spans="7:25" x14ac:dyDescent="0.25">
      <c r="G694" s="303">
        <f t="shared" si="190"/>
        <v>0</v>
      </c>
      <c r="H694" s="304">
        <f t="shared" si="194"/>
        <v>687</v>
      </c>
      <c r="I694" s="305" t="str">
        <f t="shared" si="196"/>
        <v/>
      </c>
      <c r="J694" s="305" t="str">
        <f t="shared" si="197"/>
        <v/>
      </c>
      <c r="K694" s="305" t="str">
        <f t="shared" si="198"/>
        <v/>
      </c>
      <c r="L694" s="305" t="str">
        <f t="shared" si="199"/>
        <v/>
      </c>
      <c r="M694" s="314" t="str">
        <f t="shared" si="200"/>
        <v/>
      </c>
      <c r="N694" s="305" t="str">
        <f t="shared" si="201"/>
        <v/>
      </c>
      <c r="O694" s="327" t="e">
        <f t="shared" si="192"/>
        <v>#NUM!</v>
      </c>
      <c r="P694" s="305"/>
      <c r="Q694" s="303">
        <f t="shared" si="191"/>
        <v>0</v>
      </c>
      <c r="R694" s="304">
        <f t="shared" si="195"/>
        <v>-587</v>
      </c>
      <c r="S694" s="305" t="str">
        <f t="shared" si="202"/>
        <v/>
      </c>
      <c r="T694" s="305" t="str">
        <f t="shared" si="203"/>
        <v/>
      </c>
      <c r="U694" s="305" t="str">
        <f t="shared" si="204"/>
        <v/>
      </c>
      <c r="V694" s="305" t="str">
        <f t="shared" si="205"/>
        <v/>
      </c>
      <c r="W694" s="314" t="str">
        <f t="shared" si="206"/>
        <v/>
      </c>
      <c r="X694" s="314" t="str">
        <f t="shared" si="207"/>
        <v/>
      </c>
      <c r="Y694" s="326" t="str">
        <f t="shared" si="193"/>
        <v/>
      </c>
    </row>
    <row r="695" spans="7:25" x14ac:dyDescent="0.25">
      <c r="G695" s="303">
        <f t="shared" si="190"/>
        <v>0</v>
      </c>
      <c r="H695" s="304">
        <f t="shared" si="194"/>
        <v>688</v>
      </c>
      <c r="I695" s="305" t="str">
        <f t="shared" si="196"/>
        <v/>
      </c>
      <c r="J695" s="305" t="str">
        <f t="shared" si="197"/>
        <v/>
      </c>
      <c r="K695" s="305" t="str">
        <f t="shared" si="198"/>
        <v/>
      </c>
      <c r="L695" s="305" t="str">
        <f t="shared" si="199"/>
        <v/>
      </c>
      <c r="M695" s="314" t="str">
        <f t="shared" si="200"/>
        <v/>
      </c>
      <c r="N695" s="305" t="str">
        <f t="shared" si="201"/>
        <v/>
      </c>
      <c r="O695" s="327" t="e">
        <f t="shared" si="192"/>
        <v>#NUM!</v>
      </c>
      <c r="P695" s="305"/>
      <c r="Q695" s="303">
        <f t="shared" si="191"/>
        <v>0</v>
      </c>
      <c r="R695" s="304">
        <f t="shared" si="195"/>
        <v>-588</v>
      </c>
      <c r="S695" s="305" t="str">
        <f t="shared" si="202"/>
        <v/>
      </c>
      <c r="T695" s="305" t="str">
        <f t="shared" si="203"/>
        <v/>
      </c>
      <c r="U695" s="305" t="str">
        <f t="shared" si="204"/>
        <v/>
      </c>
      <c r="V695" s="305" t="str">
        <f t="shared" si="205"/>
        <v/>
      </c>
      <c r="W695" s="314" t="str">
        <f t="shared" si="206"/>
        <v/>
      </c>
      <c r="X695" s="314" t="str">
        <f t="shared" si="207"/>
        <v/>
      </c>
      <c r="Y695" s="326" t="str">
        <f t="shared" si="193"/>
        <v/>
      </c>
    </row>
    <row r="696" spans="7:25" x14ac:dyDescent="0.25">
      <c r="G696" s="303">
        <f t="shared" si="190"/>
        <v>0</v>
      </c>
      <c r="H696" s="304">
        <f t="shared" si="194"/>
        <v>689</v>
      </c>
      <c r="I696" s="305" t="str">
        <f t="shared" si="196"/>
        <v/>
      </c>
      <c r="J696" s="305" t="str">
        <f t="shared" si="197"/>
        <v/>
      </c>
      <c r="K696" s="305" t="str">
        <f t="shared" si="198"/>
        <v/>
      </c>
      <c r="L696" s="305" t="str">
        <f t="shared" si="199"/>
        <v/>
      </c>
      <c r="M696" s="314" t="str">
        <f t="shared" si="200"/>
        <v/>
      </c>
      <c r="N696" s="305" t="str">
        <f t="shared" si="201"/>
        <v/>
      </c>
      <c r="O696" s="327" t="e">
        <f t="shared" si="192"/>
        <v>#NUM!</v>
      </c>
      <c r="P696" s="305"/>
      <c r="Q696" s="303">
        <f t="shared" si="191"/>
        <v>0</v>
      </c>
      <c r="R696" s="304">
        <f t="shared" si="195"/>
        <v>-589</v>
      </c>
      <c r="S696" s="305" t="str">
        <f t="shared" si="202"/>
        <v/>
      </c>
      <c r="T696" s="305" t="str">
        <f t="shared" si="203"/>
        <v/>
      </c>
      <c r="U696" s="305" t="str">
        <f t="shared" si="204"/>
        <v/>
      </c>
      <c r="V696" s="305" t="str">
        <f t="shared" si="205"/>
        <v/>
      </c>
      <c r="W696" s="314" t="str">
        <f t="shared" si="206"/>
        <v/>
      </c>
      <c r="X696" s="314" t="str">
        <f t="shared" si="207"/>
        <v/>
      </c>
      <c r="Y696" s="326" t="str">
        <f t="shared" si="193"/>
        <v/>
      </c>
    </row>
    <row r="697" spans="7:25" x14ac:dyDescent="0.25">
      <c r="G697" s="303">
        <f t="shared" si="190"/>
        <v>0</v>
      </c>
      <c r="H697" s="304">
        <f t="shared" si="194"/>
        <v>690</v>
      </c>
      <c r="I697" s="305" t="str">
        <f t="shared" si="196"/>
        <v/>
      </c>
      <c r="J697" s="305" t="str">
        <f t="shared" si="197"/>
        <v/>
      </c>
      <c r="K697" s="305" t="str">
        <f t="shared" si="198"/>
        <v/>
      </c>
      <c r="L697" s="305" t="str">
        <f t="shared" si="199"/>
        <v/>
      </c>
      <c r="M697" s="314" t="str">
        <f t="shared" si="200"/>
        <v/>
      </c>
      <c r="N697" s="305" t="str">
        <f t="shared" si="201"/>
        <v/>
      </c>
      <c r="O697" s="327" t="e">
        <f t="shared" si="192"/>
        <v>#NUM!</v>
      </c>
      <c r="P697" s="305"/>
      <c r="Q697" s="303">
        <f t="shared" si="191"/>
        <v>0</v>
      </c>
      <c r="R697" s="304">
        <f t="shared" si="195"/>
        <v>-590</v>
      </c>
      <c r="S697" s="305" t="str">
        <f t="shared" si="202"/>
        <v/>
      </c>
      <c r="T697" s="305" t="str">
        <f t="shared" si="203"/>
        <v/>
      </c>
      <c r="U697" s="305" t="str">
        <f t="shared" si="204"/>
        <v/>
      </c>
      <c r="V697" s="305" t="str">
        <f t="shared" si="205"/>
        <v/>
      </c>
      <c r="W697" s="314" t="str">
        <f t="shared" si="206"/>
        <v/>
      </c>
      <c r="X697" s="314" t="str">
        <f t="shared" si="207"/>
        <v/>
      </c>
      <c r="Y697" s="326" t="str">
        <f t="shared" si="193"/>
        <v/>
      </c>
    </row>
    <row r="698" spans="7:25" x14ac:dyDescent="0.25">
      <c r="G698" s="303">
        <f t="shared" si="190"/>
        <v>0</v>
      </c>
      <c r="H698" s="304">
        <f t="shared" si="194"/>
        <v>691</v>
      </c>
      <c r="I698" s="305" t="str">
        <f t="shared" si="196"/>
        <v/>
      </c>
      <c r="J698" s="305" t="str">
        <f t="shared" si="197"/>
        <v/>
      </c>
      <c r="K698" s="305" t="str">
        <f t="shared" si="198"/>
        <v/>
      </c>
      <c r="L698" s="305" t="str">
        <f t="shared" si="199"/>
        <v/>
      </c>
      <c r="M698" s="314" t="str">
        <f t="shared" si="200"/>
        <v/>
      </c>
      <c r="N698" s="305" t="str">
        <f t="shared" si="201"/>
        <v/>
      </c>
      <c r="O698" s="327" t="e">
        <f t="shared" si="192"/>
        <v>#NUM!</v>
      </c>
      <c r="P698" s="305"/>
      <c r="Q698" s="303">
        <f t="shared" si="191"/>
        <v>0</v>
      </c>
      <c r="R698" s="304">
        <f t="shared" si="195"/>
        <v>-591</v>
      </c>
      <c r="S698" s="305" t="str">
        <f t="shared" si="202"/>
        <v/>
      </c>
      <c r="T698" s="305" t="str">
        <f t="shared" si="203"/>
        <v/>
      </c>
      <c r="U698" s="305" t="str">
        <f t="shared" si="204"/>
        <v/>
      </c>
      <c r="V698" s="305" t="str">
        <f t="shared" si="205"/>
        <v/>
      </c>
      <c r="W698" s="314" t="str">
        <f t="shared" si="206"/>
        <v/>
      </c>
      <c r="X698" s="314" t="str">
        <f t="shared" si="207"/>
        <v/>
      </c>
      <c r="Y698" s="326" t="str">
        <f t="shared" si="193"/>
        <v/>
      </c>
    </row>
    <row r="699" spans="7:25" x14ac:dyDescent="0.25">
      <c r="G699" s="303">
        <f t="shared" si="190"/>
        <v>0</v>
      </c>
      <c r="H699" s="304">
        <f t="shared" si="194"/>
        <v>692</v>
      </c>
      <c r="I699" s="305" t="str">
        <f t="shared" si="196"/>
        <v/>
      </c>
      <c r="J699" s="305" t="str">
        <f t="shared" si="197"/>
        <v/>
      </c>
      <c r="K699" s="305" t="str">
        <f t="shared" si="198"/>
        <v/>
      </c>
      <c r="L699" s="305" t="str">
        <f t="shared" si="199"/>
        <v/>
      </c>
      <c r="M699" s="314" t="str">
        <f t="shared" si="200"/>
        <v/>
      </c>
      <c r="N699" s="305" t="str">
        <f t="shared" si="201"/>
        <v/>
      </c>
      <c r="O699" s="327" t="e">
        <f t="shared" si="192"/>
        <v>#NUM!</v>
      </c>
      <c r="P699" s="305"/>
      <c r="Q699" s="303">
        <f t="shared" si="191"/>
        <v>0</v>
      </c>
      <c r="R699" s="304">
        <f t="shared" si="195"/>
        <v>-592</v>
      </c>
      <c r="S699" s="305" t="str">
        <f t="shared" si="202"/>
        <v/>
      </c>
      <c r="T699" s="305" t="str">
        <f t="shared" si="203"/>
        <v/>
      </c>
      <c r="U699" s="305" t="str">
        <f t="shared" si="204"/>
        <v/>
      </c>
      <c r="V699" s="305" t="str">
        <f t="shared" si="205"/>
        <v/>
      </c>
      <c r="W699" s="314" t="str">
        <f t="shared" si="206"/>
        <v/>
      </c>
      <c r="X699" s="314" t="str">
        <f t="shared" si="207"/>
        <v/>
      </c>
      <c r="Y699" s="326" t="str">
        <f t="shared" si="193"/>
        <v/>
      </c>
    </row>
    <row r="700" spans="7:25" x14ac:dyDescent="0.25">
      <c r="G700" s="303">
        <f t="shared" si="190"/>
        <v>0</v>
      </c>
      <c r="H700" s="304">
        <f t="shared" si="194"/>
        <v>693</v>
      </c>
      <c r="I700" s="305" t="str">
        <f t="shared" si="196"/>
        <v/>
      </c>
      <c r="J700" s="305" t="str">
        <f t="shared" si="197"/>
        <v/>
      </c>
      <c r="K700" s="305" t="str">
        <f t="shared" si="198"/>
        <v/>
      </c>
      <c r="L700" s="305" t="str">
        <f t="shared" si="199"/>
        <v/>
      </c>
      <c r="M700" s="314" t="str">
        <f t="shared" si="200"/>
        <v/>
      </c>
      <c r="N700" s="305" t="str">
        <f t="shared" si="201"/>
        <v/>
      </c>
      <c r="O700" s="327" t="e">
        <f t="shared" si="192"/>
        <v>#NUM!</v>
      </c>
      <c r="P700" s="305"/>
      <c r="Q700" s="303">
        <f t="shared" si="191"/>
        <v>0</v>
      </c>
      <c r="R700" s="304">
        <f t="shared" si="195"/>
        <v>-593</v>
      </c>
      <c r="S700" s="305" t="str">
        <f t="shared" si="202"/>
        <v/>
      </c>
      <c r="T700" s="305" t="str">
        <f t="shared" si="203"/>
        <v/>
      </c>
      <c r="U700" s="305" t="str">
        <f t="shared" si="204"/>
        <v/>
      </c>
      <c r="V700" s="305" t="str">
        <f t="shared" si="205"/>
        <v/>
      </c>
      <c r="W700" s="314" t="str">
        <f t="shared" si="206"/>
        <v/>
      </c>
      <c r="X700" s="314" t="str">
        <f t="shared" si="207"/>
        <v/>
      </c>
      <c r="Y700" s="326" t="str">
        <f t="shared" si="193"/>
        <v/>
      </c>
    </row>
    <row r="701" spans="7:25" x14ac:dyDescent="0.25">
      <c r="G701" s="303">
        <f t="shared" si="190"/>
        <v>0</v>
      </c>
      <c r="H701" s="304">
        <f t="shared" si="194"/>
        <v>694</v>
      </c>
      <c r="I701" s="305" t="str">
        <f t="shared" si="196"/>
        <v/>
      </c>
      <c r="J701" s="305" t="str">
        <f t="shared" si="197"/>
        <v/>
      </c>
      <c r="K701" s="305" t="str">
        <f t="shared" si="198"/>
        <v/>
      </c>
      <c r="L701" s="305" t="str">
        <f t="shared" si="199"/>
        <v/>
      </c>
      <c r="M701" s="314" t="str">
        <f t="shared" si="200"/>
        <v/>
      </c>
      <c r="N701" s="305" t="str">
        <f t="shared" si="201"/>
        <v/>
      </c>
      <c r="O701" s="327" t="e">
        <f t="shared" si="192"/>
        <v>#NUM!</v>
      </c>
      <c r="P701" s="305"/>
      <c r="Q701" s="303">
        <f t="shared" si="191"/>
        <v>0</v>
      </c>
      <c r="R701" s="304">
        <f t="shared" si="195"/>
        <v>-594</v>
      </c>
      <c r="S701" s="305" t="str">
        <f t="shared" si="202"/>
        <v/>
      </c>
      <c r="T701" s="305" t="str">
        <f t="shared" si="203"/>
        <v/>
      </c>
      <c r="U701" s="305" t="str">
        <f t="shared" si="204"/>
        <v/>
      </c>
      <c r="V701" s="305" t="str">
        <f t="shared" si="205"/>
        <v/>
      </c>
      <c r="W701" s="314" t="str">
        <f t="shared" si="206"/>
        <v/>
      </c>
      <c r="X701" s="314" t="str">
        <f t="shared" si="207"/>
        <v/>
      </c>
      <c r="Y701" s="326" t="str">
        <f t="shared" si="193"/>
        <v/>
      </c>
    </row>
    <row r="702" spans="7:25" x14ac:dyDescent="0.25">
      <c r="G702" s="303">
        <f t="shared" si="190"/>
        <v>0</v>
      </c>
      <c r="H702" s="304">
        <f t="shared" si="194"/>
        <v>695</v>
      </c>
      <c r="I702" s="305" t="str">
        <f t="shared" si="196"/>
        <v/>
      </c>
      <c r="J702" s="305" t="str">
        <f t="shared" si="197"/>
        <v/>
      </c>
      <c r="K702" s="305" t="str">
        <f t="shared" si="198"/>
        <v/>
      </c>
      <c r="L702" s="305" t="str">
        <f t="shared" si="199"/>
        <v/>
      </c>
      <c r="M702" s="314" t="str">
        <f t="shared" si="200"/>
        <v/>
      </c>
      <c r="N702" s="305" t="str">
        <f t="shared" si="201"/>
        <v/>
      </c>
      <c r="O702" s="327" t="e">
        <f t="shared" si="192"/>
        <v>#NUM!</v>
      </c>
      <c r="P702" s="305"/>
      <c r="Q702" s="303">
        <f t="shared" si="191"/>
        <v>0</v>
      </c>
      <c r="R702" s="304">
        <f t="shared" si="195"/>
        <v>-595</v>
      </c>
      <c r="S702" s="305" t="str">
        <f t="shared" si="202"/>
        <v/>
      </c>
      <c r="T702" s="305" t="str">
        <f t="shared" si="203"/>
        <v/>
      </c>
      <c r="U702" s="305" t="str">
        <f t="shared" si="204"/>
        <v/>
      </c>
      <c r="V702" s="305" t="str">
        <f t="shared" si="205"/>
        <v/>
      </c>
      <c r="W702" s="314" t="str">
        <f t="shared" si="206"/>
        <v/>
      </c>
      <c r="X702" s="314" t="str">
        <f t="shared" si="207"/>
        <v/>
      </c>
      <c r="Y702" s="326" t="str">
        <f t="shared" si="193"/>
        <v/>
      </c>
    </row>
    <row r="703" spans="7:25" x14ac:dyDescent="0.25">
      <c r="G703" s="303">
        <f t="shared" si="190"/>
        <v>0</v>
      </c>
      <c r="H703" s="304">
        <f t="shared" si="194"/>
        <v>696</v>
      </c>
      <c r="I703" s="305" t="str">
        <f t="shared" si="196"/>
        <v/>
      </c>
      <c r="J703" s="305" t="str">
        <f t="shared" si="197"/>
        <v/>
      </c>
      <c r="K703" s="305" t="str">
        <f t="shared" si="198"/>
        <v/>
      </c>
      <c r="L703" s="305" t="str">
        <f t="shared" si="199"/>
        <v/>
      </c>
      <c r="M703" s="314" t="str">
        <f t="shared" si="200"/>
        <v/>
      </c>
      <c r="N703" s="305" t="str">
        <f t="shared" si="201"/>
        <v/>
      </c>
      <c r="O703" s="327" t="e">
        <f t="shared" si="192"/>
        <v>#NUM!</v>
      </c>
      <c r="P703" s="305"/>
      <c r="Q703" s="303">
        <f t="shared" si="191"/>
        <v>0</v>
      </c>
      <c r="R703" s="304">
        <f t="shared" si="195"/>
        <v>-596</v>
      </c>
      <c r="S703" s="305" t="str">
        <f t="shared" si="202"/>
        <v/>
      </c>
      <c r="T703" s="305" t="str">
        <f t="shared" si="203"/>
        <v/>
      </c>
      <c r="U703" s="305" t="str">
        <f t="shared" si="204"/>
        <v/>
      </c>
      <c r="V703" s="305" t="str">
        <f t="shared" si="205"/>
        <v/>
      </c>
      <c r="W703" s="314" t="str">
        <f t="shared" si="206"/>
        <v/>
      </c>
      <c r="X703" s="314" t="str">
        <f t="shared" si="207"/>
        <v/>
      </c>
      <c r="Y703" s="326" t="str">
        <f t="shared" si="193"/>
        <v/>
      </c>
    </row>
    <row r="704" spans="7:25" x14ac:dyDescent="0.25">
      <c r="G704" s="303">
        <f t="shared" si="190"/>
        <v>0</v>
      </c>
      <c r="H704" s="304">
        <f t="shared" si="194"/>
        <v>697</v>
      </c>
      <c r="I704" s="305" t="str">
        <f t="shared" si="196"/>
        <v/>
      </c>
      <c r="J704" s="305" t="str">
        <f t="shared" si="197"/>
        <v/>
      </c>
      <c r="K704" s="305" t="str">
        <f t="shared" si="198"/>
        <v/>
      </c>
      <c r="L704" s="305" t="str">
        <f t="shared" si="199"/>
        <v/>
      </c>
      <c r="M704" s="314" t="str">
        <f t="shared" si="200"/>
        <v/>
      </c>
      <c r="N704" s="305" t="str">
        <f t="shared" si="201"/>
        <v/>
      </c>
      <c r="O704" s="327" t="e">
        <f t="shared" si="192"/>
        <v>#NUM!</v>
      </c>
      <c r="P704" s="305"/>
      <c r="Q704" s="303">
        <f t="shared" si="191"/>
        <v>0</v>
      </c>
      <c r="R704" s="304">
        <f t="shared" si="195"/>
        <v>-597</v>
      </c>
      <c r="S704" s="305" t="str">
        <f t="shared" si="202"/>
        <v/>
      </c>
      <c r="T704" s="305" t="str">
        <f t="shared" si="203"/>
        <v/>
      </c>
      <c r="U704" s="305" t="str">
        <f t="shared" si="204"/>
        <v/>
      </c>
      <c r="V704" s="305" t="str">
        <f t="shared" si="205"/>
        <v/>
      </c>
      <c r="W704" s="314" t="str">
        <f t="shared" si="206"/>
        <v/>
      </c>
      <c r="X704" s="314" t="str">
        <f t="shared" si="207"/>
        <v/>
      </c>
      <c r="Y704" s="326" t="str">
        <f t="shared" si="193"/>
        <v/>
      </c>
    </row>
    <row r="705" spans="7:25" x14ac:dyDescent="0.25">
      <c r="G705" s="303">
        <f t="shared" si="190"/>
        <v>0</v>
      </c>
      <c r="H705" s="304">
        <f t="shared" si="194"/>
        <v>698</v>
      </c>
      <c r="I705" s="305" t="str">
        <f t="shared" si="196"/>
        <v/>
      </c>
      <c r="J705" s="305" t="str">
        <f t="shared" si="197"/>
        <v/>
      </c>
      <c r="K705" s="305" t="str">
        <f t="shared" si="198"/>
        <v/>
      </c>
      <c r="L705" s="305" t="str">
        <f t="shared" si="199"/>
        <v/>
      </c>
      <c r="M705" s="314" t="str">
        <f t="shared" si="200"/>
        <v/>
      </c>
      <c r="N705" s="305" t="str">
        <f t="shared" si="201"/>
        <v/>
      </c>
      <c r="O705" s="327" t="e">
        <f t="shared" si="192"/>
        <v>#NUM!</v>
      </c>
      <c r="P705" s="305"/>
      <c r="Q705" s="303">
        <f t="shared" si="191"/>
        <v>0</v>
      </c>
      <c r="R705" s="304">
        <f t="shared" si="195"/>
        <v>-598</v>
      </c>
      <c r="S705" s="305" t="str">
        <f t="shared" si="202"/>
        <v/>
      </c>
      <c r="T705" s="305" t="str">
        <f t="shared" si="203"/>
        <v/>
      </c>
      <c r="U705" s="305" t="str">
        <f t="shared" si="204"/>
        <v/>
      </c>
      <c r="V705" s="305" t="str">
        <f t="shared" si="205"/>
        <v/>
      </c>
      <c r="W705" s="314" t="str">
        <f t="shared" si="206"/>
        <v/>
      </c>
      <c r="X705" s="314" t="str">
        <f t="shared" si="207"/>
        <v/>
      </c>
      <c r="Y705" s="326" t="str">
        <f t="shared" si="193"/>
        <v/>
      </c>
    </row>
    <row r="706" spans="7:25" x14ac:dyDescent="0.25">
      <c r="G706" s="303">
        <f t="shared" si="190"/>
        <v>0</v>
      </c>
      <c r="H706" s="304">
        <f t="shared" si="194"/>
        <v>699</v>
      </c>
      <c r="I706" s="305" t="str">
        <f t="shared" si="196"/>
        <v/>
      </c>
      <c r="J706" s="305" t="str">
        <f t="shared" si="197"/>
        <v/>
      </c>
      <c r="K706" s="305" t="str">
        <f t="shared" si="198"/>
        <v/>
      </c>
      <c r="L706" s="305" t="str">
        <f t="shared" si="199"/>
        <v/>
      </c>
      <c r="M706" s="314" t="str">
        <f t="shared" si="200"/>
        <v/>
      </c>
      <c r="N706" s="305" t="str">
        <f t="shared" si="201"/>
        <v/>
      </c>
      <c r="O706" s="327" t="e">
        <f t="shared" si="192"/>
        <v>#NUM!</v>
      </c>
      <c r="P706" s="305"/>
      <c r="Q706" s="303">
        <f t="shared" si="191"/>
        <v>0</v>
      </c>
      <c r="R706" s="304">
        <f t="shared" si="195"/>
        <v>-599</v>
      </c>
      <c r="S706" s="305" t="str">
        <f t="shared" si="202"/>
        <v/>
      </c>
      <c r="T706" s="305" t="str">
        <f t="shared" si="203"/>
        <v/>
      </c>
      <c r="U706" s="305" t="str">
        <f t="shared" si="204"/>
        <v/>
      </c>
      <c r="V706" s="305" t="str">
        <f t="shared" si="205"/>
        <v/>
      </c>
      <c r="W706" s="314" t="str">
        <f t="shared" si="206"/>
        <v/>
      </c>
      <c r="X706" s="314" t="str">
        <f t="shared" si="207"/>
        <v/>
      </c>
      <c r="Y706" s="326" t="str">
        <f t="shared" si="193"/>
        <v/>
      </c>
    </row>
    <row r="707" spans="7:25" x14ac:dyDescent="0.25">
      <c r="G707" s="303">
        <f t="shared" si="190"/>
        <v>0</v>
      </c>
      <c r="H707" s="304">
        <f t="shared" si="194"/>
        <v>700</v>
      </c>
      <c r="I707" s="305" t="str">
        <f t="shared" si="196"/>
        <v/>
      </c>
      <c r="J707" s="305" t="str">
        <f t="shared" si="197"/>
        <v/>
      </c>
      <c r="K707" s="305" t="str">
        <f t="shared" si="198"/>
        <v/>
      </c>
      <c r="L707" s="305" t="str">
        <f t="shared" si="199"/>
        <v/>
      </c>
      <c r="M707" s="314" t="str">
        <f t="shared" si="200"/>
        <v/>
      </c>
      <c r="N707" s="305" t="str">
        <f t="shared" si="201"/>
        <v/>
      </c>
      <c r="O707" s="327" t="e">
        <f t="shared" si="192"/>
        <v>#NUM!</v>
      </c>
      <c r="P707" s="305"/>
      <c r="Q707" s="303">
        <f t="shared" si="191"/>
        <v>0</v>
      </c>
      <c r="R707" s="304">
        <f t="shared" si="195"/>
        <v>-600</v>
      </c>
      <c r="S707" s="305" t="str">
        <f t="shared" si="202"/>
        <v/>
      </c>
      <c r="T707" s="305" t="str">
        <f t="shared" si="203"/>
        <v/>
      </c>
      <c r="U707" s="305" t="str">
        <f t="shared" si="204"/>
        <v/>
      </c>
      <c r="V707" s="305" t="str">
        <f t="shared" si="205"/>
        <v/>
      </c>
      <c r="W707" s="314" t="str">
        <f t="shared" si="206"/>
        <v/>
      </c>
      <c r="X707" s="314" t="str">
        <f t="shared" si="207"/>
        <v/>
      </c>
      <c r="Y707" s="326" t="str">
        <f t="shared" si="193"/>
        <v/>
      </c>
    </row>
    <row r="708" spans="7:25" x14ac:dyDescent="0.25">
      <c r="G708" s="303">
        <f t="shared" si="190"/>
        <v>0</v>
      </c>
      <c r="H708" s="304">
        <f t="shared" si="194"/>
        <v>701</v>
      </c>
      <c r="I708" s="305" t="str">
        <f t="shared" si="196"/>
        <v/>
      </c>
      <c r="J708" s="305" t="str">
        <f t="shared" si="197"/>
        <v/>
      </c>
      <c r="K708" s="305" t="str">
        <f t="shared" si="198"/>
        <v/>
      </c>
      <c r="L708" s="305" t="str">
        <f t="shared" si="199"/>
        <v/>
      </c>
      <c r="M708" s="314" t="str">
        <f t="shared" si="200"/>
        <v/>
      </c>
      <c r="N708" s="305" t="str">
        <f t="shared" si="201"/>
        <v/>
      </c>
      <c r="O708" s="327" t="e">
        <f t="shared" si="192"/>
        <v>#NUM!</v>
      </c>
      <c r="P708" s="305"/>
      <c r="Q708" s="303">
        <f t="shared" si="191"/>
        <v>0</v>
      </c>
      <c r="R708" s="304">
        <f t="shared" si="195"/>
        <v>-601</v>
      </c>
      <c r="S708" s="305" t="str">
        <f t="shared" si="202"/>
        <v/>
      </c>
      <c r="T708" s="305" t="str">
        <f t="shared" si="203"/>
        <v/>
      </c>
      <c r="U708" s="305" t="str">
        <f t="shared" si="204"/>
        <v/>
      </c>
      <c r="V708" s="305" t="str">
        <f t="shared" si="205"/>
        <v/>
      </c>
      <c r="W708" s="314" t="str">
        <f t="shared" si="206"/>
        <v/>
      </c>
      <c r="X708" s="314" t="str">
        <f t="shared" si="207"/>
        <v/>
      </c>
      <c r="Y708" s="326" t="str">
        <f t="shared" si="193"/>
        <v/>
      </c>
    </row>
    <row r="709" spans="7:25" x14ac:dyDescent="0.25">
      <c r="G709" s="303">
        <f t="shared" si="190"/>
        <v>0</v>
      </c>
      <c r="H709" s="304">
        <f t="shared" si="194"/>
        <v>702</v>
      </c>
      <c r="I709" s="305" t="str">
        <f t="shared" si="196"/>
        <v/>
      </c>
      <c r="J709" s="305" t="str">
        <f t="shared" si="197"/>
        <v/>
      </c>
      <c r="K709" s="305" t="str">
        <f t="shared" si="198"/>
        <v/>
      </c>
      <c r="L709" s="305" t="str">
        <f t="shared" si="199"/>
        <v/>
      </c>
      <c r="M709" s="314" t="str">
        <f t="shared" si="200"/>
        <v/>
      </c>
      <c r="N709" s="305" t="str">
        <f t="shared" si="201"/>
        <v/>
      </c>
      <c r="O709" s="327" t="e">
        <f t="shared" si="192"/>
        <v>#NUM!</v>
      </c>
      <c r="P709" s="305"/>
      <c r="Q709" s="303">
        <f t="shared" si="191"/>
        <v>0</v>
      </c>
      <c r="R709" s="304">
        <f t="shared" si="195"/>
        <v>-602</v>
      </c>
      <c r="S709" s="305" t="str">
        <f t="shared" si="202"/>
        <v/>
      </c>
      <c r="T709" s="305" t="str">
        <f t="shared" si="203"/>
        <v/>
      </c>
      <c r="U709" s="305" t="str">
        <f t="shared" si="204"/>
        <v/>
      </c>
      <c r="V709" s="305" t="str">
        <f t="shared" si="205"/>
        <v/>
      </c>
      <c r="W709" s="314" t="str">
        <f t="shared" si="206"/>
        <v/>
      </c>
      <c r="X709" s="314" t="str">
        <f t="shared" si="207"/>
        <v/>
      </c>
      <c r="Y709" s="326" t="str">
        <f t="shared" si="193"/>
        <v/>
      </c>
    </row>
    <row r="710" spans="7:25" x14ac:dyDescent="0.25">
      <c r="G710" s="303">
        <f t="shared" si="190"/>
        <v>0</v>
      </c>
      <c r="H710" s="304">
        <f t="shared" si="194"/>
        <v>703</v>
      </c>
      <c r="I710" s="305" t="str">
        <f t="shared" si="196"/>
        <v/>
      </c>
      <c r="J710" s="305" t="str">
        <f t="shared" si="197"/>
        <v/>
      </c>
      <c r="K710" s="305" t="str">
        <f t="shared" si="198"/>
        <v/>
      </c>
      <c r="L710" s="305" t="str">
        <f t="shared" si="199"/>
        <v/>
      </c>
      <c r="M710" s="314" t="str">
        <f t="shared" si="200"/>
        <v/>
      </c>
      <c r="N710" s="305" t="str">
        <f t="shared" si="201"/>
        <v/>
      </c>
      <c r="O710" s="327" t="e">
        <f t="shared" si="192"/>
        <v>#NUM!</v>
      </c>
      <c r="P710" s="305"/>
      <c r="Q710" s="303">
        <f t="shared" si="191"/>
        <v>0</v>
      </c>
      <c r="R710" s="304">
        <f t="shared" si="195"/>
        <v>-603</v>
      </c>
      <c r="S710" s="305" t="str">
        <f t="shared" si="202"/>
        <v/>
      </c>
      <c r="T710" s="305" t="str">
        <f t="shared" si="203"/>
        <v/>
      </c>
      <c r="U710" s="305" t="str">
        <f t="shared" si="204"/>
        <v/>
      </c>
      <c r="V710" s="305" t="str">
        <f t="shared" si="205"/>
        <v/>
      </c>
      <c r="W710" s="314" t="str">
        <f t="shared" si="206"/>
        <v/>
      </c>
      <c r="X710" s="314" t="str">
        <f t="shared" si="207"/>
        <v/>
      </c>
      <c r="Y710" s="326" t="str">
        <f t="shared" si="193"/>
        <v/>
      </c>
    </row>
  </sheetData>
  <mergeCells count="4">
    <mergeCell ref="I5:L5"/>
    <mergeCell ref="S5:V5"/>
    <mergeCell ref="C30:E30"/>
    <mergeCell ref="C29:E29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>
    <pageSetUpPr fitToPage="1"/>
  </sheetPr>
  <dimension ref="A1:AS128"/>
  <sheetViews>
    <sheetView showGridLines="0" workbookViewId="0">
      <pane ySplit="4" topLeftCell="A10" activePane="bottomLeft" state="frozenSplit"/>
      <selection activeCell="R2" sqref="R2:S2"/>
      <selection pane="bottomLeft" activeCell="C26" sqref="C26"/>
    </sheetView>
  </sheetViews>
  <sheetFormatPr baseColWidth="10" defaultRowHeight="12.75" x14ac:dyDescent="0.2"/>
  <cols>
    <col min="1" max="1" width="9" style="25" customWidth="1"/>
    <col min="2" max="2" width="5.140625" style="139" customWidth="1"/>
    <col min="3" max="3" width="14.7109375" style="25" customWidth="1"/>
    <col min="4" max="4" width="11.42578125" style="25"/>
    <col min="5" max="5" width="12.7109375" style="25" customWidth="1"/>
    <col min="6" max="6" width="13.85546875" style="25" customWidth="1"/>
    <col min="7" max="7" width="11.5703125" style="25" customWidth="1"/>
    <col min="8" max="8" width="12.28515625" style="25" customWidth="1"/>
    <col min="9" max="11" width="11" style="25" customWidth="1"/>
    <col min="12" max="12" width="10.5703125" style="25" customWidth="1"/>
    <col min="13" max="13" width="9.5703125" style="25" customWidth="1"/>
    <col min="14" max="14" width="10.140625" style="25" customWidth="1"/>
    <col min="15" max="15" width="8" style="25" customWidth="1"/>
    <col min="16" max="16" width="7" style="25" customWidth="1"/>
    <col min="17" max="17" width="11.28515625" style="25" customWidth="1"/>
    <col min="18" max="18" width="8.7109375" style="25" customWidth="1"/>
    <col min="19" max="19" width="8.5703125" style="25" bestFit="1" customWidth="1"/>
    <col min="20" max="20" width="11.42578125" style="25"/>
    <col min="21" max="21" width="21.28515625" style="248" customWidth="1"/>
    <col min="22" max="22" width="11.42578125" style="248"/>
    <col min="23" max="24" width="11.42578125" style="25"/>
    <col min="25" max="25" width="13.140625" style="25" customWidth="1"/>
    <col min="26" max="26" width="8.85546875" style="25" customWidth="1"/>
    <col min="27" max="27" width="8.5703125" style="25" customWidth="1"/>
    <col min="28" max="28" width="7.85546875" style="25" customWidth="1"/>
    <col min="29" max="29" width="7.28515625" style="25" customWidth="1"/>
    <col min="30" max="30" width="10.140625" style="25" customWidth="1"/>
    <col min="31" max="39" width="11.42578125" style="25"/>
    <col min="40" max="40" width="11.42578125" style="25" customWidth="1"/>
    <col min="41" max="44" width="11.42578125" style="357" customWidth="1"/>
    <col min="45" max="45" width="42" style="357" customWidth="1"/>
    <col min="46" max="16384" width="11.42578125" style="25"/>
  </cols>
  <sheetData>
    <row r="1" spans="1:45" s="199" customFormat="1" ht="15.75" x14ac:dyDescent="0.25">
      <c r="A1" s="508"/>
      <c r="B1" s="509"/>
      <c r="C1" s="510"/>
      <c r="D1" s="511"/>
      <c r="E1" s="512"/>
      <c r="F1" s="512"/>
      <c r="G1" s="508"/>
      <c r="H1" s="508"/>
      <c r="I1" s="508"/>
      <c r="J1" s="513"/>
      <c r="K1" s="513" t="s">
        <v>64</v>
      </c>
      <c r="L1" s="514" t="s">
        <v>66</v>
      </c>
      <c r="M1" s="515"/>
      <c r="N1" s="516" t="s">
        <v>65</v>
      </c>
      <c r="O1" s="515" t="s">
        <v>61</v>
      </c>
      <c r="P1" s="515" t="s">
        <v>61</v>
      </c>
      <c r="Q1" s="525" t="s">
        <v>228</v>
      </c>
      <c r="R1" s="1367">
        <f ca="1">TODAY()</f>
        <v>45412</v>
      </c>
      <c r="S1" s="1367"/>
      <c r="T1" s="526"/>
      <c r="U1" s="526"/>
      <c r="V1" s="506"/>
      <c r="AO1" s="353"/>
      <c r="AP1" s="353"/>
      <c r="AQ1" s="353"/>
      <c r="AR1" s="353"/>
      <c r="AS1" s="353"/>
    </row>
    <row r="2" spans="1:45" s="200" customFormat="1" ht="16.5" thickBot="1" x14ac:dyDescent="0.3">
      <c r="A2" s="512"/>
      <c r="B2" s="508" t="s">
        <v>62</v>
      </c>
      <c r="C2" s="510"/>
      <c r="D2" s="510"/>
      <c r="E2" s="510"/>
      <c r="F2" s="510"/>
      <c r="G2" s="510"/>
      <c r="H2" s="512"/>
      <c r="I2" s="517" t="s">
        <v>61</v>
      </c>
      <c r="J2" s="517"/>
      <c r="K2" s="517"/>
      <c r="L2" s="518" t="s">
        <v>63</v>
      </c>
      <c r="M2" s="517"/>
      <c r="N2" s="516" t="s">
        <v>65</v>
      </c>
      <c r="O2" s="514" t="s">
        <v>61</v>
      </c>
      <c r="P2" s="514" t="s">
        <v>61</v>
      </c>
      <c r="Q2" s="527" t="s">
        <v>226</v>
      </c>
      <c r="R2" s="1368"/>
      <c r="S2" s="1369"/>
      <c r="T2" s="528"/>
      <c r="U2" s="528"/>
      <c r="V2" s="507"/>
      <c r="AO2" s="354"/>
      <c r="AP2" s="354"/>
      <c r="AQ2" s="354"/>
      <c r="AR2" s="354"/>
      <c r="AS2" s="354"/>
    </row>
    <row r="3" spans="1:45" s="200" customFormat="1" ht="16.5" thickBot="1" x14ac:dyDescent="0.3">
      <c r="A3" s="510" t="s">
        <v>61</v>
      </c>
      <c r="B3" s="510" t="s">
        <v>70</v>
      </c>
      <c r="C3" s="510"/>
      <c r="D3" s="510"/>
      <c r="E3" s="510"/>
      <c r="F3" s="510"/>
      <c r="G3" s="510"/>
      <c r="H3" s="512" t="s">
        <v>61</v>
      </c>
      <c r="I3" s="517" t="s">
        <v>61</v>
      </c>
      <c r="J3" s="517"/>
      <c r="K3" s="517"/>
      <c r="L3" s="514" t="s">
        <v>79</v>
      </c>
      <c r="M3" s="517"/>
      <c r="N3" s="516"/>
      <c r="O3" s="514"/>
      <c r="P3" s="514"/>
      <c r="Q3" s="527" t="s">
        <v>227</v>
      </c>
      <c r="R3" s="529">
        <f>IF(ISBLANK(R2),1,IF(R2&lt;R1,0,1))</f>
        <v>1</v>
      </c>
      <c r="S3" s="530" t="s">
        <v>231</v>
      </c>
      <c r="T3" s="528"/>
      <c r="U3" s="528"/>
      <c r="V3" s="507"/>
      <c r="AO3" s="354"/>
      <c r="AP3" s="354"/>
      <c r="AQ3" s="354"/>
      <c r="AR3" s="354"/>
      <c r="AS3" s="354"/>
    </row>
    <row r="4" spans="1:45" s="200" customFormat="1" ht="15.75" x14ac:dyDescent="0.25">
      <c r="A4" s="510" t="s">
        <v>61</v>
      </c>
      <c r="B4" s="512" t="s">
        <v>142</v>
      </c>
      <c r="C4" s="783">
        <v>42931</v>
      </c>
      <c r="D4" s="510" t="s">
        <v>61</v>
      </c>
      <c r="E4" s="510" t="s">
        <v>61</v>
      </c>
      <c r="F4" s="510" t="s">
        <v>61</v>
      </c>
      <c r="G4" s="510" t="s">
        <v>61</v>
      </c>
      <c r="H4" s="512" t="s">
        <v>61</v>
      </c>
      <c r="I4" s="519" t="s">
        <v>61</v>
      </c>
      <c r="J4" s="519"/>
      <c r="K4" s="519"/>
      <c r="L4" s="520" t="s">
        <v>61</v>
      </c>
      <c r="M4" s="519" t="s">
        <v>61</v>
      </c>
      <c r="N4" s="521" t="s">
        <v>61</v>
      </c>
      <c r="O4" s="512" t="s">
        <v>61</v>
      </c>
      <c r="P4" s="512" t="s">
        <v>61</v>
      </c>
      <c r="Q4" s="527" t="s">
        <v>229</v>
      </c>
      <c r="R4" s="1370" t="s">
        <v>230</v>
      </c>
      <c r="S4" s="1370"/>
      <c r="T4" s="1370"/>
      <c r="U4" s="528"/>
      <c r="V4" s="507"/>
      <c r="AO4" s="354"/>
      <c r="AP4" s="354"/>
      <c r="AQ4" s="354"/>
      <c r="AR4" s="354"/>
      <c r="AS4" s="354"/>
    </row>
    <row r="5" spans="1:45" s="6" customFormat="1" ht="12.75" customHeight="1" x14ac:dyDescent="0.2">
      <c r="B5" s="5"/>
      <c r="U5" s="248"/>
      <c r="V5" s="248"/>
      <c r="AO5" s="355"/>
      <c r="AP5" s="355"/>
      <c r="AQ5" s="355"/>
      <c r="AR5" s="355"/>
      <c r="AS5" s="355"/>
    </row>
    <row r="6" spans="1:45" s="8" customFormat="1" ht="12.75" customHeight="1" x14ac:dyDescent="0.2">
      <c r="C6" s="7"/>
      <c r="H6" s="7"/>
      <c r="I6" s="7"/>
      <c r="J6" s="7"/>
      <c r="K6" s="7"/>
      <c r="L6" s="9"/>
      <c r="M6" s="10"/>
      <c r="N6" s="7"/>
      <c r="O6" s="7"/>
      <c r="P6" s="7"/>
      <c r="Q6" s="7"/>
      <c r="R6" s="7"/>
      <c r="U6" s="249"/>
      <c r="V6" s="249"/>
      <c r="AO6" s="356"/>
      <c r="AP6" s="356"/>
      <c r="AQ6" s="356"/>
      <c r="AR6" s="356"/>
      <c r="AS6" s="356"/>
    </row>
    <row r="7" spans="1:45" s="6" customFormat="1" ht="12.75" customHeight="1" x14ac:dyDescent="0.2">
      <c r="B7" s="141">
        <v>1</v>
      </c>
      <c r="C7" t="s">
        <v>0</v>
      </c>
      <c r="D7" s="1374" t="str">
        <f>IF(ISTEXT('Test X2'!D4),'Test X2'!D4,"")</f>
        <v/>
      </c>
      <c r="E7" s="1374"/>
      <c r="F7" s="1374"/>
      <c r="G7" s="12"/>
      <c r="H7" s="7"/>
      <c r="I7" s="7"/>
      <c r="J7" s="7"/>
      <c r="K7" s="7"/>
      <c r="L7" s="7"/>
      <c r="M7" s="7"/>
      <c r="N7" s="450" t="s">
        <v>199</v>
      </c>
      <c r="O7" s="7"/>
      <c r="P7" s="7"/>
      <c r="Q7" s="7"/>
      <c r="R7" s="7"/>
      <c r="U7" s="248"/>
      <c r="V7" s="248"/>
      <c r="AO7" s="355"/>
      <c r="AP7" s="355"/>
      <c r="AQ7" s="355"/>
      <c r="AR7" s="355"/>
      <c r="AS7" s="355"/>
    </row>
    <row r="8" spans="1:45" s="6" customFormat="1" ht="12.75" customHeight="1" x14ac:dyDescent="0.2">
      <c r="B8" s="142"/>
      <c r="C8" s="13" t="s">
        <v>2</v>
      </c>
      <c r="D8" s="1374" t="str">
        <f>'Test X2'!D5</f>
        <v>Droga</v>
      </c>
      <c r="E8" s="1374"/>
      <c r="F8" s="1374"/>
      <c r="G8" s="14"/>
      <c r="H8" s="15"/>
      <c r="I8" s="16"/>
      <c r="J8" s="16"/>
      <c r="K8" s="16"/>
      <c r="L8" s="16"/>
      <c r="N8" s="451" t="str">
        <f>IF(D56&gt;=1," mayor ", " menor ")</f>
        <v xml:space="preserve"> mayor </v>
      </c>
      <c r="O8" s="251"/>
      <c r="V8" s="248"/>
      <c r="AO8" s="355"/>
      <c r="AP8" s="355"/>
      <c r="AQ8" s="355"/>
      <c r="AR8" s="355"/>
      <c r="AS8" s="355"/>
    </row>
    <row r="9" spans="1:45" s="6" customFormat="1" ht="12.75" customHeight="1" x14ac:dyDescent="0.25">
      <c r="B9" s="142"/>
      <c r="C9" s="17" t="s">
        <v>71</v>
      </c>
      <c r="D9" s="18"/>
      <c r="E9" s="164" t="str">
        <f>'Test X2'!E6</f>
        <v>Fenilepinefrina</v>
      </c>
      <c r="F9" s="164" t="str">
        <f>'Test X2'!F6</f>
        <v>Norepinefrina</v>
      </c>
      <c r="G9" s="19"/>
      <c r="H9" s="20"/>
      <c r="I9" s="4"/>
      <c r="J9" s="4"/>
      <c r="K9" s="4"/>
      <c r="L9" s="16"/>
      <c r="N9" s="252"/>
      <c r="O9" s="250"/>
      <c r="P9" s="4"/>
      <c r="Q9" s="4"/>
      <c r="R9" s="4"/>
      <c r="V9" s="248"/>
      <c r="AO9" s="355"/>
      <c r="AP9" s="355"/>
      <c r="AQ9" s="355"/>
      <c r="AR9" s="355"/>
      <c r="AS9" s="355"/>
    </row>
    <row r="10" spans="1:45" s="6" customFormat="1" ht="12.75" customHeight="1" x14ac:dyDescent="0.2">
      <c r="B10" s="142"/>
      <c r="C10" s="13" t="s">
        <v>1</v>
      </c>
      <c r="D10" s="1375" t="str">
        <f>'Test X2'!D7</f>
        <v>Bradicardia</v>
      </c>
      <c r="E10" s="1375"/>
      <c r="F10" s="1375"/>
      <c r="G10" s="19"/>
      <c r="H10" s="20"/>
      <c r="I10" s="4"/>
      <c r="J10" s="4"/>
      <c r="K10" s="4"/>
      <c r="L10" s="16"/>
      <c r="N10" s="252" t="str">
        <f>E11&amp;"-"&amp;D10</f>
        <v>Si-Bradicardia</v>
      </c>
      <c r="O10" s="250"/>
      <c r="P10" s="4"/>
      <c r="Q10" s="4"/>
      <c r="R10" s="4"/>
      <c r="V10" s="248"/>
      <c r="AO10" s="355"/>
      <c r="AP10" s="355"/>
      <c r="AQ10" s="355"/>
      <c r="AR10" s="355"/>
      <c r="AS10" s="355"/>
    </row>
    <row r="11" spans="1:45" s="6" customFormat="1" ht="12.75" customHeight="1" x14ac:dyDescent="0.2">
      <c r="B11" s="142"/>
      <c r="C11" s="21" t="s">
        <v>71</v>
      </c>
      <c r="D11" s="22"/>
      <c r="E11" s="164" t="str">
        <f>'Test X2'!E8</f>
        <v>Si</v>
      </c>
      <c r="F11" s="164" t="str">
        <f>'Test X2'!F8</f>
        <v>No</v>
      </c>
      <c r="G11" s="19"/>
      <c r="H11" s="23"/>
      <c r="L11" s="16"/>
      <c r="N11" s="252" t="str">
        <f>F11&amp;"-"&amp;D10</f>
        <v>No-Bradicardia</v>
      </c>
      <c r="O11" s="250"/>
      <c r="P11" s="4"/>
      <c r="Q11" s="4"/>
      <c r="R11" s="4"/>
      <c r="V11" s="248"/>
      <c r="AO11" s="355"/>
      <c r="AP11" s="355"/>
      <c r="AQ11" s="355"/>
      <c r="AR11" s="355"/>
      <c r="AS11" s="355"/>
    </row>
    <row r="12" spans="1:45" s="6" customFormat="1" ht="12.75" customHeight="1" x14ac:dyDescent="0.2">
      <c r="B12" s="142"/>
      <c r="C12" s="25"/>
      <c r="D12" s="206"/>
      <c r="E12" s="26"/>
      <c r="F12" s="26"/>
      <c r="G12" s="19"/>
      <c r="H12" s="23"/>
      <c r="L12" s="16"/>
      <c r="N12" s="252" t="str">
        <f>D8&amp;"="&amp;"["&amp;E9&amp;"]"</f>
        <v>Droga=[Fenilepinefrina]</v>
      </c>
      <c r="O12" s="250"/>
      <c r="P12" s="4"/>
      <c r="Q12" s="4"/>
      <c r="R12" s="4"/>
      <c r="V12" s="248"/>
      <c r="AO12" s="355"/>
      <c r="AP12" s="355"/>
      <c r="AQ12" s="355"/>
      <c r="AR12" s="355"/>
      <c r="AS12" s="355"/>
    </row>
    <row r="13" spans="1:45" s="6" customFormat="1" ht="12.75" customHeight="1" x14ac:dyDescent="0.2">
      <c r="B13" s="142"/>
      <c r="C13" s="25"/>
      <c r="D13" s="206"/>
      <c r="E13" s="206"/>
      <c r="F13" s="206"/>
      <c r="G13" s="19"/>
      <c r="H13" s="23"/>
      <c r="L13" s="16"/>
      <c r="N13" s="252" t="str">
        <f>D8&amp;"="&amp;"["&amp;F9&amp;"]"</f>
        <v>Droga=[Norepinefrina]</v>
      </c>
      <c r="O13" s="250"/>
      <c r="P13" s="4"/>
      <c r="Q13" s="4"/>
      <c r="R13" s="4"/>
      <c r="V13" s="248"/>
      <c r="AO13" s="355"/>
      <c r="AP13" s="355"/>
      <c r="AQ13" s="355"/>
      <c r="AR13" s="355"/>
      <c r="AS13" s="355"/>
    </row>
    <row r="14" spans="1:45" s="6" customFormat="1" ht="12.75" customHeight="1" x14ac:dyDescent="0.2">
      <c r="B14" s="142"/>
      <c r="C14" s="25"/>
      <c r="D14" s="206"/>
      <c r="E14" s="214" t="s">
        <v>89</v>
      </c>
      <c r="F14" s="206"/>
      <c r="G14" s="19"/>
      <c r="H14" s="23"/>
      <c r="L14" s="16"/>
      <c r="N14" s="252">
        <f>IF(ISNUMBER(E68),E68,E69)</f>
        <v>9</v>
      </c>
      <c r="O14" s="250"/>
      <c r="P14" s="4"/>
      <c r="Q14" s="4"/>
      <c r="R14" s="4"/>
      <c r="V14" s="248"/>
      <c r="AO14" s="355"/>
      <c r="AP14" s="355"/>
      <c r="AQ14" s="355"/>
      <c r="AR14" s="355"/>
      <c r="AS14" s="355"/>
    </row>
    <row r="15" spans="1:45" s="6" customFormat="1" ht="12.75" customHeight="1" x14ac:dyDescent="0.2">
      <c r="B15" s="142"/>
      <c r="C15" s="25"/>
      <c r="D15" s="206"/>
      <c r="E15" s="210" t="s">
        <v>88</v>
      </c>
      <c r="F15" s="206"/>
      <c r="G15" s="19"/>
      <c r="H15" s="23" t="str">
        <f>IF(UPPER(LEFT(E17,1))="T","Independencia","Homogeneidad")</f>
        <v>Independencia</v>
      </c>
      <c r="L15" s="16"/>
      <c r="N15" s="250"/>
      <c r="O15" s="250"/>
      <c r="P15" s="250"/>
      <c r="Q15" s="250"/>
      <c r="R15" s="250"/>
      <c r="S15" s="251"/>
      <c r="T15" s="251"/>
      <c r="U15" s="252"/>
      <c r="V15" s="252"/>
      <c r="W15" s="251"/>
      <c r="X15" s="251"/>
      <c r="AO15" s="355"/>
      <c r="AP15" s="355"/>
      <c r="AQ15" s="355"/>
      <c r="AR15" s="355"/>
      <c r="AS15" s="355"/>
    </row>
    <row r="16" spans="1:45" ht="12.75" customHeight="1" x14ac:dyDescent="0.25">
      <c r="B16" s="143"/>
      <c r="D16" s="26"/>
      <c r="E16" s="211" t="s">
        <v>87</v>
      </c>
      <c r="G16" s="18"/>
      <c r="H16" s="24"/>
      <c r="I16" s="24"/>
      <c r="J16" s="24"/>
      <c r="K16" s="24"/>
      <c r="L16" s="24"/>
      <c r="M16" s="24"/>
      <c r="N16" s="253"/>
      <c r="O16" s="253"/>
      <c r="P16" s="253"/>
      <c r="Q16" s="253"/>
      <c r="R16" s="253"/>
      <c r="S16" s="1371"/>
      <c r="T16" s="1371"/>
      <c r="U16" s="252"/>
      <c r="V16" s="252"/>
      <c r="W16" s="254"/>
      <c r="X16" s="254"/>
    </row>
    <row r="17" spans="2:45" ht="12.75" customHeight="1" x14ac:dyDescent="0.25">
      <c r="B17" s="143"/>
      <c r="C17" s="76" t="s">
        <v>72</v>
      </c>
      <c r="D17" s="102" t="s">
        <v>73</v>
      </c>
      <c r="E17" s="213" t="str">
        <f>'Test X2'!E14</f>
        <v>Transversal</v>
      </c>
      <c r="F17" s="69" t="str">
        <f>" &lt; "&amp;U42</f>
        <v xml:space="preserve"> &lt; Transversal</v>
      </c>
      <c r="G17" s="18"/>
      <c r="H17" s="911" t="s">
        <v>420</v>
      </c>
      <c r="I17" s="912">
        <f>IF(LEFT(UPPER(E17))="R",0,1)</f>
        <v>1</v>
      </c>
      <c r="J17" s="69" t="str">
        <f>IF(I17=0,"AVISO: La inferencia de la prevalencia NO ES VÁLIDA en un estudio de tipo retrospectivo","")</f>
        <v/>
      </c>
      <c r="K17" s="24"/>
      <c r="L17" s="24"/>
      <c r="M17" s="24"/>
      <c r="N17" s="253"/>
      <c r="O17" s="253"/>
      <c r="P17" s="253"/>
      <c r="Q17" s="253"/>
      <c r="R17" s="253"/>
      <c r="S17" s="1371"/>
      <c r="T17" s="1371"/>
      <c r="U17" s="252"/>
      <c r="V17" s="252"/>
      <c r="W17" s="254"/>
      <c r="X17" s="254"/>
    </row>
    <row r="18" spans="2:45" ht="12.75" customHeight="1" x14ac:dyDescent="0.25">
      <c r="B18" s="143"/>
      <c r="C18" s="72" t="s">
        <v>54</v>
      </c>
      <c r="D18" s="72"/>
      <c r="E18" s="165">
        <f>'Test X2'!E15</f>
        <v>0.95</v>
      </c>
      <c r="F18" s="73" t="s">
        <v>74</v>
      </c>
      <c r="G18" s="454">
        <f>NORMSINV(1-(1-E18)/2)</f>
        <v>1.9599639845400536</v>
      </c>
      <c r="H18" s="24"/>
      <c r="J18" s="24"/>
      <c r="K18" s="24"/>
      <c r="L18" s="24"/>
      <c r="M18" s="24"/>
      <c r="O18" s="253"/>
      <c r="P18" s="253"/>
      <c r="Q18" s="253"/>
      <c r="R18" s="253"/>
      <c r="S18" s="1371"/>
      <c r="T18" s="1371"/>
      <c r="U18" s="252"/>
      <c r="V18" s="252"/>
      <c r="W18" s="254"/>
      <c r="X18" s="254"/>
    </row>
    <row r="19" spans="2:45" ht="12.75" customHeight="1" x14ac:dyDescent="0.25">
      <c r="B19" s="143"/>
      <c r="D19" s="26"/>
      <c r="E19" s="26"/>
      <c r="F19" s="26"/>
      <c r="G19" s="18"/>
      <c r="H19" s="24"/>
      <c r="I19" s="24"/>
      <c r="J19" s="24"/>
      <c r="K19" s="24"/>
      <c r="L19" s="24"/>
      <c r="M19" s="24"/>
      <c r="N19" s="253"/>
      <c r="O19" s="253"/>
      <c r="P19" s="253"/>
      <c r="Q19" s="253"/>
      <c r="R19" s="253"/>
      <c r="S19" s="1371"/>
      <c r="T19" s="1371"/>
      <c r="U19" s="252"/>
      <c r="V19" s="252"/>
      <c r="W19" s="254"/>
      <c r="X19" s="254"/>
    </row>
    <row r="20" spans="2:45" ht="12.75" customHeight="1" thickBot="1" x14ac:dyDescent="0.25">
      <c r="B20" s="140">
        <v>2</v>
      </c>
      <c r="C20" s="146" t="s">
        <v>58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267" t="s">
        <v>114</v>
      </c>
      <c r="O20" s="253"/>
      <c r="P20" s="253"/>
      <c r="Q20" s="253"/>
      <c r="R20" s="253"/>
      <c r="S20" s="1371"/>
      <c r="T20" s="1371"/>
      <c r="U20" s="252"/>
      <c r="V20" s="252"/>
      <c r="W20" s="254"/>
      <c r="X20" s="254"/>
    </row>
    <row r="21" spans="2:45" ht="12.75" customHeight="1" thickBot="1" x14ac:dyDescent="0.25">
      <c r="B21" s="4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53" t="s">
        <v>145</v>
      </c>
      <c r="O21" s="254"/>
      <c r="P21" s="253"/>
      <c r="Q21" s="253"/>
      <c r="R21" s="253"/>
      <c r="S21" s="254"/>
      <c r="T21" s="257" t="s">
        <v>147</v>
      </c>
      <c r="U21" s="252">
        <f>E24*F25/(F24*E25)</f>
        <v>9</v>
      </c>
      <c r="V21" s="252" t="s">
        <v>148</v>
      </c>
      <c r="W21" s="254"/>
      <c r="X21" s="254"/>
    </row>
    <row r="22" spans="2:45" ht="12.75" customHeight="1" thickBot="1" x14ac:dyDescent="0.25">
      <c r="B22" s="25"/>
      <c r="C22" s="1288" t="str">
        <f>D7</f>
        <v/>
      </c>
      <c r="D22" s="1289"/>
      <c r="E22" s="1372" t="str">
        <f>IF(ISBLANK(D8),C8,D8)</f>
        <v>Droga</v>
      </c>
      <c r="F22" s="1373"/>
      <c r="G22" s="29"/>
      <c r="H22" s="29"/>
      <c r="I22" s="29"/>
      <c r="J22" s="29"/>
      <c r="K22" s="29"/>
      <c r="L22" s="29"/>
      <c r="M22" s="29"/>
      <c r="N22" s="255" t="s">
        <v>97</v>
      </c>
      <c r="O22" s="254" t="s">
        <v>92</v>
      </c>
      <c r="P22" s="254"/>
      <c r="Q22" s="256" t="s">
        <v>103</v>
      </c>
      <c r="R22" s="254"/>
      <c r="S22" s="254"/>
      <c r="T22" s="254"/>
      <c r="U22" s="252"/>
      <c r="V22" s="252"/>
      <c r="W22" s="254"/>
      <c r="X22" s="254"/>
    </row>
    <row r="23" spans="2:45" ht="12.75" customHeight="1" thickBot="1" x14ac:dyDescent="0.25">
      <c r="B23" s="43"/>
      <c r="C23" s="1280"/>
      <c r="D23" s="1378"/>
      <c r="E23" s="30" t="str">
        <f>IF(ISBLANK(E9),"Presente",E9)</f>
        <v>Fenilepinefrina</v>
      </c>
      <c r="F23" s="31" t="str">
        <f>IF(ISBLANK(F9),"Ausente",F9)</f>
        <v>Norepinefrina</v>
      </c>
      <c r="G23" s="29"/>
      <c r="H23" s="29"/>
      <c r="I23" s="227" t="s">
        <v>3</v>
      </c>
      <c r="J23" s="227"/>
      <c r="K23" s="227"/>
      <c r="L23" s="223"/>
      <c r="M23" s="223"/>
      <c r="N23" s="257"/>
      <c r="O23" s="258">
        <f>G18*G18/4</f>
        <v>0.9603647051735309</v>
      </c>
      <c r="P23" s="254"/>
      <c r="Q23" s="259">
        <f>E24+$O$23</f>
        <v>75.960364705173532</v>
      </c>
      <c r="R23" s="259">
        <f>F24+$O$23</f>
        <v>25.960364705173532</v>
      </c>
      <c r="S23" s="260">
        <f>SUM(Q23:R23)</f>
        <v>101.92072941034706</v>
      </c>
      <c r="T23" s="257" t="s">
        <v>147</v>
      </c>
      <c r="U23" s="340">
        <f>Q23*R24/(R23*Q24)</f>
        <v>8.5965140421550341</v>
      </c>
      <c r="V23" s="252" t="s">
        <v>149</v>
      </c>
      <c r="W23" s="254"/>
      <c r="X23" s="254"/>
    </row>
    <row r="24" spans="2:45" ht="12.75" customHeight="1" x14ac:dyDescent="0.2">
      <c r="B24" s="43"/>
      <c r="C24" s="1376" t="str">
        <f>IF(ISBLANK(D10),C10,D10)&amp;"  "</f>
        <v xml:space="preserve">Bradicardia  </v>
      </c>
      <c r="D24" s="32" t="str">
        <f>IF(ISBLANK(E11),"Presente",E11)</f>
        <v>Si</v>
      </c>
      <c r="E24" s="166">
        <f>IF($R$3,'Test X2'!E21,"")</f>
        <v>75</v>
      </c>
      <c r="F24" s="166">
        <f>IF($R$3,'Test X2'!F21,"")</f>
        <v>25</v>
      </c>
      <c r="G24" s="33">
        <f>E24+F24</f>
        <v>100</v>
      </c>
      <c r="H24" s="34"/>
      <c r="I24" s="167">
        <f>E24/G24</f>
        <v>0.75</v>
      </c>
      <c r="J24" s="168">
        <f>F24/$G$24</f>
        <v>0.25</v>
      </c>
      <c r="K24" s="35">
        <f>J24+I24</f>
        <v>1</v>
      </c>
      <c r="N24" s="261"/>
      <c r="O24" s="262"/>
      <c r="P24" s="254"/>
      <c r="Q24" s="259">
        <f>E25+$O$23</f>
        <v>30.960364705173532</v>
      </c>
      <c r="R24" s="259">
        <f>F25+$O$23</f>
        <v>90.960364705173532</v>
      </c>
      <c r="S24" s="260">
        <f>SUM(Q24:R24)</f>
        <v>121.92072941034706</v>
      </c>
      <c r="T24" s="254"/>
      <c r="U24" s="340"/>
      <c r="V24" s="252"/>
      <c r="W24" s="254"/>
      <c r="X24" s="254"/>
    </row>
    <row r="25" spans="2:45" ht="12.75" customHeight="1" thickBot="1" x14ac:dyDescent="0.25">
      <c r="B25" s="43"/>
      <c r="C25" s="1377"/>
      <c r="D25" s="38" t="str">
        <f>IF(ISBLANK(F11),"Ausente",F11)</f>
        <v>No</v>
      </c>
      <c r="E25" s="166">
        <f>IF($R$3,'Test X2'!E22,"")</f>
        <v>30</v>
      </c>
      <c r="F25" s="166">
        <f>IF($R$3,'Test X2'!F22,"")</f>
        <v>90</v>
      </c>
      <c r="G25" s="31">
        <f>E25+F25</f>
        <v>120</v>
      </c>
      <c r="H25" s="34"/>
      <c r="I25" s="39">
        <f>E25/$G$25</f>
        <v>0.25</v>
      </c>
      <c r="J25" s="40">
        <f>F25/$G$25</f>
        <v>0.75</v>
      </c>
      <c r="K25" s="41">
        <f>J25+I25</f>
        <v>1</v>
      </c>
      <c r="N25" s="261"/>
      <c r="O25" s="262"/>
      <c r="P25" s="254"/>
      <c r="Q25" s="260">
        <f>SUM(Q23:Q24)</f>
        <v>106.92072941034706</v>
      </c>
      <c r="R25" s="260">
        <f>SUM(R23:R24)</f>
        <v>116.92072941034706</v>
      </c>
      <c r="S25" s="260">
        <f>SUM(S23:S24)</f>
        <v>223.84145882069413</v>
      </c>
      <c r="T25" s="254"/>
      <c r="U25" s="340"/>
      <c r="V25" s="252"/>
      <c r="W25" s="254"/>
      <c r="X25" s="254"/>
    </row>
    <row r="26" spans="2:45" ht="12.75" customHeight="1" thickBot="1" x14ac:dyDescent="0.25">
      <c r="B26" s="43"/>
      <c r="C26" s="29"/>
      <c r="D26" s="29"/>
      <c r="E26" s="30">
        <f>E24+E25</f>
        <v>105</v>
      </c>
      <c r="F26" s="31">
        <f>F24+F25</f>
        <v>115</v>
      </c>
      <c r="G26" s="42">
        <f>E26+F26</f>
        <v>220</v>
      </c>
      <c r="H26" s="34"/>
      <c r="I26" s="26"/>
      <c r="J26" s="26"/>
      <c r="K26" s="26"/>
      <c r="L26" s="26"/>
      <c r="M26" s="26"/>
      <c r="N26" s="254"/>
      <c r="O26" s="254"/>
      <c r="P26" s="254"/>
      <c r="Q26" s="254"/>
      <c r="R26" s="254"/>
      <c r="S26" s="254"/>
      <c r="T26" s="254"/>
      <c r="U26" s="340"/>
      <c r="V26" s="252"/>
      <c r="W26" s="254"/>
      <c r="X26" s="254"/>
    </row>
    <row r="27" spans="2:45" s="27" customFormat="1" ht="12.75" customHeight="1" thickBot="1" x14ac:dyDescent="0.25">
      <c r="B27" s="43"/>
      <c r="C27" s="34"/>
      <c r="D27" s="34"/>
      <c r="E27" s="34"/>
      <c r="F27" s="34"/>
      <c r="G27" s="34"/>
      <c r="H27" s="34"/>
      <c r="I27" s="44"/>
      <c r="J27" s="44"/>
      <c r="K27" s="44"/>
      <c r="L27" s="44"/>
      <c r="M27" s="44"/>
      <c r="N27" s="257"/>
      <c r="O27" s="254"/>
      <c r="P27" s="254"/>
      <c r="Q27" s="256" t="s">
        <v>104</v>
      </c>
      <c r="R27" s="254"/>
      <c r="S27" s="254"/>
      <c r="T27" s="253"/>
      <c r="U27" s="341"/>
      <c r="V27" s="263"/>
      <c r="W27" s="253"/>
      <c r="X27" s="253"/>
      <c r="AO27" s="358"/>
      <c r="AP27" s="358"/>
      <c r="AQ27" s="358"/>
      <c r="AR27" s="358"/>
      <c r="AS27" s="358"/>
    </row>
    <row r="28" spans="2:45" ht="12.75" customHeight="1" thickBot="1" x14ac:dyDescent="0.25">
      <c r="B28" s="43"/>
      <c r="C28" s="29"/>
      <c r="D28" s="26"/>
      <c r="E28" s="1281" t="s">
        <v>4</v>
      </c>
      <c r="F28" s="1282"/>
      <c r="G28" s="45"/>
      <c r="H28" s="45"/>
      <c r="I28" s="226" t="s">
        <v>5</v>
      </c>
      <c r="J28" s="226"/>
      <c r="K28" s="226"/>
      <c r="L28" s="225"/>
      <c r="M28" s="225"/>
      <c r="N28" s="255" t="s">
        <v>97</v>
      </c>
      <c r="O28" s="253">
        <v>0.5</v>
      </c>
      <c r="P28" s="253"/>
      <c r="Q28" s="264">
        <f>E24+0.5</f>
        <v>75.5</v>
      </c>
      <c r="R28" s="264">
        <f>F24+0.5</f>
        <v>25.5</v>
      </c>
      <c r="S28" s="253">
        <f>SUM(Q28:R28)</f>
        <v>101</v>
      </c>
      <c r="T28" s="257" t="s">
        <v>147</v>
      </c>
      <c r="U28" s="340">
        <f>Q28*R29/(R28*Q29)</f>
        <v>8.7852780456444872</v>
      </c>
      <c r="V28" s="252" t="s">
        <v>150</v>
      </c>
      <c r="W28" s="254"/>
      <c r="X28" s="254"/>
    </row>
    <row r="29" spans="2:45" ht="12.75" customHeight="1" x14ac:dyDescent="0.2">
      <c r="B29" s="43"/>
      <c r="C29" s="29"/>
      <c r="D29" s="26"/>
      <c r="E29" s="46">
        <f>E24/$E$26</f>
        <v>0.7142857142857143</v>
      </c>
      <c r="F29" s="47">
        <f>F24/$F$26</f>
        <v>0.21739130434782608</v>
      </c>
      <c r="G29" s="45"/>
      <c r="H29" s="45"/>
      <c r="I29" s="167">
        <f>E24/G26</f>
        <v>0.34090909090909088</v>
      </c>
      <c r="J29" s="224">
        <f>F24/G26</f>
        <v>0.11363636363636363</v>
      </c>
      <c r="K29" s="52">
        <f>SUM(I29:J29)</f>
        <v>0.45454545454545453</v>
      </c>
      <c r="N29" s="254"/>
      <c r="O29" s="254"/>
      <c r="P29" s="254"/>
      <c r="Q29" s="264">
        <f>E25+0.5</f>
        <v>30.5</v>
      </c>
      <c r="R29" s="264">
        <f>F25+0.5</f>
        <v>90.5</v>
      </c>
      <c r="S29" s="253">
        <f>SUM(Q29:R29)</f>
        <v>121</v>
      </c>
      <c r="T29" s="254"/>
      <c r="U29" s="252"/>
      <c r="V29" s="252"/>
      <c r="W29" s="254"/>
      <c r="X29" s="254"/>
    </row>
    <row r="30" spans="2:45" ht="12.75" customHeight="1" thickBot="1" x14ac:dyDescent="0.25">
      <c r="B30" s="43"/>
      <c r="C30" s="26"/>
      <c r="D30" s="26"/>
      <c r="E30" s="48">
        <f>E25/$E$26</f>
        <v>0.2857142857142857</v>
      </c>
      <c r="F30" s="49">
        <f>F25/$F$26</f>
        <v>0.78260869565217395</v>
      </c>
      <c r="G30" s="50"/>
      <c r="H30" s="50"/>
      <c r="I30" s="39">
        <f>E25/G26</f>
        <v>0.13636363636363635</v>
      </c>
      <c r="J30" s="51">
        <f>F25/G26</f>
        <v>0.40909090909090912</v>
      </c>
      <c r="K30" s="52">
        <f>SUM(I30:J30)</f>
        <v>0.54545454545454541</v>
      </c>
      <c r="N30" s="254"/>
      <c r="O30" s="254"/>
      <c r="P30" s="254"/>
      <c r="Q30" s="254">
        <f>SUM(Q28:Q29)</f>
        <v>106</v>
      </c>
      <c r="R30" s="254">
        <f>SUM(R28:R29)</f>
        <v>116</v>
      </c>
      <c r="S30" s="254">
        <f>SUM(S28:S29)</f>
        <v>222</v>
      </c>
      <c r="T30" s="254"/>
      <c r="U30" s="252"/>
      <c r="V30" s="252"/>
      <c r="W30" s="254"/>
      <c r="X30" s="254"/>
    </row>
    <row r="31" spans="2:45" ht="12.75" customHeight="1" thickBot="1" x14ac:dyDescent="0.25">
      <c r="B31" s="43"/>
      <c r="C31" s="54"/>
      <c r="D31" s="29"/>
      <c r="E31" s="55">
        <f>E30+E29</f>
        <v>1</v>
      </c>
      <c r="F31" s="56">
        <f>F30+F29</f>
        <v>1</v>
      </c>
      <c r="G31" s="57"/>
      <c r="H31" s="57"/>
      <c r="I31" s="58">
        <f>SUM(I29:I30)</f>
        <v>0.47727272727272724</v>
      </c>
      <c r="J31" s="59">
        <f>SUM(J29:J30)</f>
        <v>0.52272727272727271</v>
      </c>
      <c r="K31" s="60">
        <f>SUM(I29:J30)</f>
        <v>1</v>
      </c>
      <c r="N31" s="265"/>
      <c r="O31" s="254"/>
      <c r="P31" s="254"/>
      <c r="Q31" s="254"/>
      <c r="R31" s="254"/>
      <c r="S31" s="254"/>
      <c r="T31" s="254"/>
      <c r="U31" s="252"/>
      <c r="V31" s="252"/>
      <c r="W31" s="254"/>
      <c r="X31" s="254"/>
      <c r="AD31" s="61"/>
    </row>
    <row r="32" spans="2:45" ht="12.75" customHeight="1" x14ac:dyDescent="0.2">
      <c r="B32" s="43"/>
      <c r="C32" s="54"/>
      <c r="D32" s="34"/>
      <c r="E32" s="148"/>
      <c r="F32" s="148"/>
      <c r="G32" s="57"/>
      <c r="H32" s="57"/>
      <c r="I32" s="147"/>
      <c r="J32" s="147"/>
      <c r="K32" s="147"/>
      <c r="L32" s="147"/>
      <c r="M32" s="149"/>
      <c r="N32" s="266" t="s">
        <v>97</v>
      </c>
      <c r="O32" s="253">
        <v>0.5</v>
      </c>
      <c r="P32" s="253"/>
      <c r="Q32" s="267" t="s">
        <v>105</v>
      </c>
      <c r="R32" s="253"/>
      <c r="S32" s="253"/>
      <c r="T32" s="254"/>
      <c r="U32" s="252"/>
      <c r="V32" s="252"/>
      <c r="W32" s="254"/>
      <c r="X32" s="254"/>
      <c r="AD32" s="61"/>
    </row>
    <row r="33" spans="2:30" ht="12.75" customHeight="1" thickBot="1" x14ac:dyDescent="0.25">
      <c r="B33" s="140">
        <v>3</v>
      </c>
      <c r="C33" s="146" t="str">
        <f>"Test de "&amp;H15</f>
        <v>Test de Independencia</v>
      </c>
      <c r="D33" s="38"/>
      <c r="E33" s="62"/>
      <c r="F33" s="62"/>
      <c r="G33" s="38"/>
      <c r="H33" s="38"/>
      <c r="I33" s="63"/>
      <c r="J33" s="63"/>
      <c r="K33" s="63"/>
      <c r="L33" s="63"/>
      <c r="M33" s="64"/>
      <c r="N33" s="268"/>
      <c r="O33" s="253"/>
      <c r="P33" s="253"/>
      <c r="Q33" s="264">
        <f>1/Q28</f>
        <v>1.3245033112582781E-2</v>
      </c>
      <c r="R33" s="264">
        <f>1/R28</f>
        <v>3.9215686274509803E-2</v>
      </c>
      <c r="S33" s="253"/>
      <c r="T33" s="257"/>
      <c r="U33" s="252"/>
      <c r="V33" s="252"/>
      <c r="W33" s="254"/>
      <c r="X33" s="254"/>
      <c r="AD33" s="61"/>
    </row>
    <row r="34" spans="2:30" ht="12.75" customHeight="1" x14ac:dyDescent="0.2">
      <c r="E34" s="67"/>
      <c r="F34" s="67"/>
      <c r="M34" s="68"/>
      <c r="N34" s="268"/>
      <c r="O34" s="253"/>
      <c r="P34" s="253"/>
      <c r="Q34" s="264">
        <f>1/Q29</f>
        <v>3.2786885245901641E-2</v>
      </c>
      <c r="R34" s="264">
        <f>1/R29</f>
        <v>1.1049723756906077E-2</v>
      </c>
      <c r="S34" s="253"/>
      <c r="T34" s="254"/>
      <c r="U34" s="252"/>
      <c r="V34" s="252"/>
      <c r="W34" s="254"/>
      <c r="X34" s="254"/>
      <c r="AD34" s="61"/>
    </row>
    <row r="35" spans="2:30" ht="12.75" customHeight="1" x14ac:dyDescent="0.2">
      <c r="B35" s="144"/>
      <c r="C35" s="72" t="s">
        <v>141</v>
      </c>
      <c r="D35" s="72" t="s">
        <v>115</v>
      </c>
      <c r="E35" s="151">
        <f>(MIN(E26,F26)*(MIN(G24,G25)))/G26</f>
        <v>47.727272727272727</v>
      </c>
      <c r="F35" s="75" t="str">
        <f>IF(E35&gt;U44,"&gt;"&amp;U44,"&lt; "&amp;U44)</f>
        <v>&gt;3,9</v>
      </c>
      <c r="G35" s="75" t="str">
        <f>IF(F35&gt;V44," (el test es válido)"," (El test no es válido)")</f>
        <v xml:space="preserve"> (el test es válido)</v>
      </c>
      <c r="H35" s="71"/>
      <c r="N35" s="253"/>
      <c r="O35" s="253"/>
      <c r="P35" s="253"/>
      <c r="Q35" s="253"/>
      <c r="R35" s="253" t="s">
        <v>201</v>
      </c>
      <c r="S35" s="253">
        <f>SUM(Q33:R34)</f>
        <v>9.6297328389900294E-2</v>
      </c>
      <c r="T35" s="254"/>
      <c r="U35" s="457" t="s">
        <v>203</v>
      </c>
      <c r="V35" s="252"/>
      <c r="W35" s="254"/>
      <c r="X35" s="254"/>
      <c r="AD35" s="61"/>
    </row>
    <row r="36" spans="2:30" ht="12.75" customHeight="1" x14ac:dyDescent="0.2">
      <c r="E36" s="70"/>
      <c r="F36" s="70"/>
      <c r="G36" s="70"/>
      <c r="N36" s="254"/>
      <c r="O36" s="254"/>
      <c r="P36" s="254"/>
      <c r="Q36" s="254"/>
      <c r="R36" s="254" t="s">
        <v>202</v>
      </c>
      <c r="S36" s="254">
        <f>SQRT(S35)</f>
        <v>0.31031810838218948</v>
      </c>
      <c r="T36" s="254"/>
      <c r="U36" s="252" t="str">
        <f>IF(F39&lt;0.05," (Asociación significativa)",IF(F39&gt;0.15," (No significativo)"," (Indicios de asociación)"))</f>
        <v xml:space="preserve"> (Asociación significativa)</v>
      </c>
      <c r="V36" s="252">
        <v>1</v>
      </c>
      <c r="W36" s="254"/>
      <c r="X36" s="254"/>
      <c r="AD36" s="61"/>
    </row>
    <row r="37" spans="2:30" ht="12.75" customHeight="1" x14ac:dyDescent="0.2">
      <c r="B37" s="144"/>
      <c r="H37" s="74"/>
      <c r="I37" s="27"/>
      <c r="J37" s="27"/>
      <c r="K37" s="27"/>
      <c r="L37" s="27"/>
      <c r="N37" s="254"/>
      <c r="O37" s="254"/>
      <c r="P37" s="254"/>
      <c r="Q37" s="260"/>
      <c r="R37" s="254"/>
      <c r="S37" s="452"/>
      <c r="T37" s="254"/>
      <c r="U37" s="252" t="str">
        <f>IF(F40&lt;0.05," (Asociación significativa)",IF(F40&gt;0.15," (No significativo)"," (Indicios de asociación)"))</f>
        <v xml:space="preserve"> (Asociación significativa)</v>
      </c>
      <c r="V37" s="252">
        <v>2</v>
      </c>
      <c r="W37" s="254"/>
      <c r="X37" s="254"/>
      <c r="AD37" s="61"/>
    </row>
    <row r="38" spans="2:30" ht="12.75" customHeight="1" x14ac:dyDescent="0.2">
      <c r="C38" s="152" t="s">
        <v>77</v>
      </c>
      <c r="D38" s="121" t="s">
        <v>78</v>
      </c>
      <c r="E38" s="99"/>
      <c r="F38" s="153" t="s">
        <v>75</v>
      </c>
      <c r="G38" s="153"/>
      <c r="H38" s="153"/>
      <c r="I38" s="153"/>
      <c r="J38" s="153"/>
      <c r="K38" s="153"/>
      <c r="L38" s="99"/>
      <c r="M38" s="275" t="s">
        <v>90</v>
      </c>
      <c r="N38" s="254"/>
      <c r="O38" s="254"/>
      <c r="P38" s="254"/>
      <c r="Q38" s="260"/>
      <c r="R38" s="254"/>
      <c r="S38" s="254"/>
      <c r="T38" s="254"/>
      <c r="U38" s="252" t="str">
        <f>IF(F41&lt;0.05," (Asociación significativa)",IF(F41&gt;0.15," (No significativo)"," (Indicios de asociación)"))</f>
        <v xml:space="preserve"> (Asociación significativa)</v>
      </c>
      <c r="V38" s="252">
        <v>3</v>
      </c>
      <c r="W38" s="254"/>
      <c r="X38" s="254"/>
      <c r="AD38" s="61"/>
    </row>
    <row r="39" spans="2:30" ht="12.75" customHeight="1" x14ac:dyDescent="0.2">
      <c r="C39" s="461">
        <f>G26*((ABS(E24*F25-F24*E25)-M39)^2)/(E26*F26*G24*G25)</f>
        <v>54.64927574189096</v>
      </c>
      <c r="D39" s="77" t="s">
        <v>8</v>
      </c>
      <c r="E39" s="77"/>
      <c r="F39" s="154">
        <f>CHIDIST(C39,1)</f>
        <v>1.4407740751515328E-13</v>
      </c>
      <c r="G39" s="78" t="str">
        <f>IF(V36=$V$41,U36,"")</f>
        <v xml:space="preserve"> (Asociación significativa)</v>
      </c>
      <c r="M39" s="276">
        <v>0.5</v>
      </c>
      <c r="N39" s="254"/>
      <c r="O39" s="254"/>
      <c r="P39" s="254"/>
      <c r="Q39" s="260"/>
      <c r="R39" s="254"/>
      <c r="S39" s="254"/>
      <c r="T39" s="254"/>
      <c r="V39" s="252"/>
      <c r="W39" s="254"/>
      <c r="X39" s="254"/>
      <c r="AD39" s="61"/>
    </row>
    <row r="40" spans="2:30" ht="12.75" customHeight="1" x14ac:dyDescent="0.2">
      <c r="C40" s="462">
        <f>G26*((ABS(E24*F25-F24*E25)-M40)^2)/(E26*F26*G24*G25)</f>
        <v>54.640167149758454</v>
      </c>
      <c r="D40" s="77" t="s">
        <v>9</v>
      </c>
      <c r="E40" s="77"/>
      <c r="F40" s="154">
        <f>CHIDIST(C40,1)</f>
        <v>1.447467326097319E-13</v>
      </c>
      <c r="G40" s="78" t="str">
        <f>IF(V37=$V$41,U37,"")</f>
        <v/>
      </c>
      <c r="M40" s="277">
        <f>IF(E26=F26,2,1)</f>
        <v>1</v>
      </c>
      <c r="N40" s="253"/>
      <c r="O40" s="254"/>
      <c r="P40" s="254"/>
      <c r="Q40" s="260"/>
      <c r="R40" s="254"/>
      <c r="S40" s="254"/>
      <c r="T40" s="254"/>
      <c r="V40" s="252"/>
      <c r="W40" s="254"/>
      <c r="X40" s="254"/>
      <c r="AD40" s="61"/>
    </row>
    <row r="41" spans="2:30" ht="12.75" customHeight="1" x14ac:dyDescent="0.2">
      <c r="B41" s="145"/>
      <c r="C41" s="81">
        <f>G26*((ABS(E24*F25-F24*E25)-M41)^2)/(E26*F26*G24*G25)</f>
        <v>54.640167149758454</v>
      </c>
      <c r="D41" s="77" t="s">
        <v>10</v>
      </c>
      <c r="E41" s="77"/>
      <c r="F41" s="154">
        <f>CHIDIST(C41,1)</f>
        <v>1.447467326097319E-13</v>
      </c>
      <c r="G41" s="78" t="str">
        <f>IF(V38=$V$41,U38,"")</f>
        <v/>
      </c>
      <c r="M41" s="278">
        <f>IF(G24=G25,2,1)</f>
        <v>1</v>
      </c>
      <c r="N41" s="253"/>
      <c r="O41" s="254"/>
      <c r="P41" s="254"/>
      <c r="Q41" s="260"/>
      <c r="R41" s="254"/>
      <c r="S41" s="254"/>
      <c r="T41" s="254"/>
      <c r="U41" s="456" t="s">
        <v>72</v>
      </c>
      <c r="V41" s="270">
        <f>IF(UPPER(V42)="T",1,IF(UPPER(V42)="P",2,IF(UPPER(V42)="R",3,0)))</f>
        <v>1</v>
      </c>
      <c r="W41" s="254" t="s">
        <v>113</v>
      </c>
      <c r="X41" s="254"/>
      <c r="AD41" s="61"/>
    </row>
    <row r="42" spans="2:30" ht="12.75" customHeight="1" x14ac:dyDescent="0.2">
      <c r="B42" s="144"/>
      <c r="C42" s="160"/>
      <c r="D42" s="27"/>
      <c r="E42" s="27"/>
      <c r="F42" s="139"/>
      <c r="G42" s="27"/>
      <c r="M42" s="222"/>
      <c r="N42" s="253"/>
      <c r="O42" s="254"/>
      <c r="P42" s="254"/>
      <c r="Q42" s="258"/>
      <c r="R42" s="254"/>
      <c r="S42" s="254"/>
      <c r="T42" s="254"/>
      <c r="U42" s="271" t="str">
        <f>IF(V41=1,"Transversal",IF(V41=2,"Prospectivo",IF(V41=3,"Retrospectivo","Indefinido")))</f>
        <v>Transversal</v>
      </c>
      <c r="V42" s="272" t="str">
        <f>LEFT(UPPER(E17),1)</f>
        <v>T</v>
      </c>
      <c r="W42" s="254"/>
      <c r="X42" s="254"/>
      <c r="AD42" s="61"/>
    </row>
    <row r="43" spans="2:30" ht="12.75" customHeight="1" x14ac:dyDescent="0.2">
      <c r="B43" s="145"/>
      <c r="C43" s="161">
        <f>G26*((ABS(E24*F25-F24*E25))^2)/(E26*F26*G24*G25)</f>
        <v>54.658385093167702</v>
      </c>
      <c r="D43" s="156" t="s">
        <v>76</v>
      </c>
      <c r="E43" s="44"/>
      <c r="F43" s="157">
        <f>CHIDIST(C43,1)</f>
        <v>1.4341112392065926E-13</v>
      </c>
      <c r="G43" s="80"/>
      <c r="M43" s="27"/>
      <c r="N43" s="253"/>
      <c r="O43" s="254"/>
      <c r="P43" s="254"/>
      <c r="Q43" s="254"/>
      <c r="R43" s="254"/>
      <c r="S43" s="254"/>
      <c r="T43" s="254"/>
      <c r="U43" s="252" t="s">
        <v>110</v>
      </c>
      <c r="V43" s="252">
        <f>IF(G26&lt;=500,3.9,6.2)</f>
        <v>3.9</v>
      </c>
      <c r="W43" s="254" t="s">
        <v>111</v>
      </c>
      <c r="X43" s="254"/>
      <c r="AD43" s="61"/>
    </row>
    <row r="44" spans="2:30" x14ac:dyDescent="0.2">
      <c r="C44" s="162">
        <f>G26*((ABS(E24*F25-F24*E25)-(G26/2))^2)/(E26*F26*G24*G25)</f>
        <v>52.672615596963425</v>
      </c>
      <c r="D44" s="163" t="s">
        <v>11</v>
      </c>
      <c r="E44" s="155"/>
      <c r="F44" s="155">
        <f>CHIDIST(C44,1)</f>
        <v>3.9404719874463828E-13</v>
      </c>
      <c r="G44" s="99"/>
      <c r="H44" s="99"/>
      <c r="I44" s="99"/>
      <c r="J44" s="99"/>
      <c r="K44" s="99"/>
      <c r="L44" s="99"/>
      <c r="M44" s="99"/>
      <c r="N44" s="253"/>
      <c r="O44" s="254"/>
      <c r="P44" s="254"/>
      <c r="Q44" s="254"/>
      <c r="R44" s="254"/>
      <c r="S44" s="254"/>
      <c r="T44" s="254"/>
      <c r="U44" s="273">
        <f>IF(V41=1,V43,V44)</f>
        <v>3.9</v>
      </c>
      <c r="V44" s="252">
        <f>IF(G26&lt;=500,7.7,14.9)</f>
        <v>7.7</v>
      </c>
      <c r="W44" s="254" t="s">
        <v>112</v>
      </c>
      <c r="X44" s="254"/>
      <c r="AD44" s="61"/>
    </row>
    <row r="45" spans="2:30" x14ac:dyDescent="0.2">
      <c r="B45" s="144"/>
      <c r="N45" s="253"/>
      <c r="O45" s="254"/>
      <c r="P45" s="254"/>
      <c r="Q45" s="254"/>
      <c r="R45" s="254"/>
      <c r="S45" s="254"/>
      <c r="T45" s="254"/>
      <c r="U45" s="252"/>
      <c r="V45" s="252"/>
      <c r="W45" s="254"/>
      <c r="X45" s="254"/>
      <c r="AD45" s="61"/>
    </row>
    <row r="46" spans="2:30" x14ac:dyDescent="0.2">
      <c r="B46" s="144"/>
      <c r="D46" s="81"/>
      <c r="G46" s="82"/>
      <c r="H46" s="82"/>
      <c r="N46" s="254"/>
      <c r="O46" s="254"/>
      <c r="P46" s="254"/>
      <c r="Q46" s="254"/>
      <c r="R46" s="254"/>
      <c r="S46" s="254"/>
      <c r="T46" s="254"/>
      <c r="U46" s="252"/>
      <c r="V46" s="252"/>
      <c r="W46" s="254"/>
      <c r="X46" s="254"/>
      <c r="AD46" s="61"/>
    </row>
    <row r="47" spans="2:30" ht="13.5" thickBot="1" x14ac:dyDescent="0.25">
      <c r="B47" s="145">
        <v>4</v>
      </c>
      <c r="C47" s="84" t="s">
        <v>12</v>
      </c>
      <c r="D47" s="66"/>
      <c r="E47" s="66"/>
      <c r="F47" s="1308"/>
      <c r="G47" s="1308"/>
      <c r="H47" s="1308"/>
      <c r="I47" s="1308"/>
      <c r="J47" s="1308"/>
      <c r="K47" s="1308"/>
      <c r="L47" s="1308"/>
      <c r="M47" s="84"/>
      <c r="N47" s="274"/>
      <c r="O47" s="274"/>
      <c r="P47" s="253"/>
      <c r="Q47" s="448" t="s">
        <v>188</v>
      </c>
      <c r="R47" s="449"/>
      <c r="S47" s="440"/>
      <c r="T47" s="441"/>
      <c r="V47" s="466" t="s">
        <v>208</v>
      </c>
      <c r="W47" s="446"/>
      <c r="X47" s="446"/>
      <c r="AD47" s="61"/>
    </row>
    <row r="48" spans="2:30" ht="13.5" thickBot="1" x14ac:dyDescent="0.25">
      <c r="C48" s="77"/>
      <c r="D48" s="27"/>
      <c r="E48" s="27"/>
      <c r="K48" s="74"/>
      <c r="L48" s="74"/>
      <c r="M48" s="27"/>
      <c r="N48" s="27"/>
      <c r="O48" s="27"/>
      <c r="P48" s="27"/>
      <c r="Q48" s="443" t="s">
        <v>117</v>
      </c>
      <c r="R48" s="253">
        <f>(Q23/Q25)/(R23/R25)</f>
        <v>3.1996749042971988</v>
      </c>
      <c r="S48" s="253"/>
      <c r="T48" s="444"/>
      <c r="V48" s="252" t="s">
        <v>209</v>
      </c>
      <c r="AD48" s="61"/>
    </row>
    <row r="49" spans="2:30" x14ac:dyDescent="0.2">
      <c r="B49" s="145" t="s">
        <v>60</v>
      </c>
      <c r="C49" s="77" t="s">
        <v>13</v>
      </c>
      <c r="D49" s="27"/>
      <c r="E49" s="234" t="s">
        <v>96</v>
      </c>
      <c r="F49" s="85" t="s">
        <v>91</v>
      </c>
      <c r="G49" s="189" t="s">
        <v>84</v>
      </c>
      <c r="H49" s="189" t="s">
        <v>85</v>
      </c>
      <c r="I49" s="114" t="s">
        <v>207</v>
      </c>
      <c r="K49" s="27"/>
      <c r="L49" s="27"/>
      <c r="M49" s="27"/>
      <c r="N49" s="27"/>
      <c r="O49" s="27"/>
      <c r="P49" s="27"/>
      <c r="Q49" s="443" t="s">
        <v>189</v>
      </c>
      <c r="R49" s="253">
        <f>1-(G18^2)*(R24/(R23*R25))</f>
        <v>0.88488124883935892</v>
      </c>
      <c r="S49" s="255" t="s">
        <v>191</v>
      </c>
      <c r="T49" s="444">
        <f>R48/R49</f>
        <v>3.6159370632997407</v>
      </c>
      <c r="V49" s="269" t="s">
        <v>210</v>
      </c>
      <c r="AC49" s="61"/>
      <c r="AD49" s="61"/>
    </row>
    <row r="50" spans="2:30" x14ac:dyDescent="0.2">
      <c r="C50" s="86" t="s">
        <v>116</v>
      </c>
      <c r="D50" s="25" t="s">
        <v>93</v>
      </c>
      <c r="E50" s="233">
        <f>(E24/E26)-(F24/F26)</f>
        <v>0.49689440993788825</v>
      </c>
      <c r="F50" s="88">
        <f>SQRT((E24*E25/E26^3)+(F24*F25/F26^3))</f>
        <v>5.8506804045920971E-2</v>
      </c>
      <c r="G50" s="242">
        <f>E50-(G18*F50+(G26/(2*E26*F26)))</f>
        <v>0.37311345030847959</v>
      </c>
      <c r="H50" s="242">
        <f>E50+(G18*F50+(G26/(2*E26*F26)))</f>
        <v>0.62067536956729696</v>
      </c>
      <c r="I50" s="25" t="str">
        <f>IF($V$41=3,$V$48,$V$49)</f>
        <v>Si</v>
      </c>
      <c r="K50" s="37"/>
      <c r="L50" s="37"/>
      <c r="M50" s="37"/>
      <c r="N50" s="27"/>
      <c r="O50" s="27"/>
      <c r="P50" s="27"/>
      <c r="Q50" s="442" t="s">
        <v>17</v>
      </c>
      <c r="R50" s="253">
        <f>(Q24/((Q23*Q25)))</f>
        <v>3.8120370575706552E-3</v>
      </c>
      <c r="S50" s="253">
        <f>R24/((R23*R25))</f>
        <v>2.9967456774621884E-2</v>
      </c>
      <c r="T50" s="444">
        <f>G18*G18*Q24*R24/(Q23*R23*Q25*R25)</f>
        <v>4.3883694544561878E-4</v>
      </c>
      <c r="V50" s="466" t="s">
        <v>211</v>
      </c>
      <c r="W50" s="99"/>
      <c r="X50" s="99"/>
    </row>
    <row r="51" spans="2:30" x14ac:dyDescent="0.2">
      <c r="C51" s="77"/>
      <c r="D51" s="25" t="s">
        <v>94</v>
      </c>
      <c r="E51" s="160">
        <f>E50</f>
        <v>0.49689440993788825</v>
      </c>
      <c r="F51" s="228">
        <f>SQRT((Q23*Q24/Q25^3)+(R23*R24/R25^3))</f>
        <v>5.8321328340990748E-2</v>
      </c>
      <c r="G51" s="134">
        <f>E50-G18*F51</f>
        <v>0.38258670685901125</v>
      </c>
      <c r="H51" s="134">
        <f>E50+G18*F51</f>
        <v>0.61120211301676519</v>
      </c>
      <c r="I51" s="25" t="str">
        <f t="shared" ref="I51:I63" si="0">IF($V$41=3,$V$48,$V$49)</f>
        <v>Si</v>
      </c>
      <c r="J51" s="231"/>
      <c r="K51" s="37"/>
      <c r="L51" s="37"/>
      <c r="M51" s="27"/>
      <c r="N51" s="27"/>
      <c r="O51" s="27"/>
      <c r="P51" s="27"/>
      <c r="Q51" s="442" t="s">
        <v>192</v>
      </c>
      <c r="R51" s="253">
        <f>G18*SQRT(R50+S50-T50)</f>
        <v>0.35787813636115051</v>
      </c>
      <c r="S51" s="253"/>
      <c r="T51" s="444"/>
    </row>
    <row r="52" spans="2:30" x14ac:dyDescent="0.2">
      <c r="C52" s="77"/>
      <c r="D52" s="25" t="s">
        <v>95</v>
      </c>
      <c r="E52" s="232">
        <f>(Q23/Q25)-(R23/R25)</f>
        <v>0.48840238199300379</v>
      </c>
      <c r="F52" s="87">
        <f>F51</f>
        <v>5.8321328340990748E-2</v>
      </c>
      <c r="G52" s="243">
        <f>E52-G18*F52</f>
        <v>0.37409467891412679</v>
      </c>
      <c r="H52" s="243">
        <f>E52+G18*F52</f>
        <v>0.60271008507188073</v>
      </c>
      <c r="I52" s="25" t="str">
        <f t="shared" si="0"/>
        <v>Si</v>
      </c>
      <c r="J52" s="37"/>
      <c r="K52" s="37"/>
      <c r="L52" s="37"/>
      <c r="M52" s="27"/>
      <c r="N52" s="27"/>
      <c r="O52" s="27"/>
      <c r="P52" s="27"/>
      <c r="Q52" s="442" t="s">
        <v>190</v>
      </c>
      <c r="R52" s="253">
        <f>T49*(1-R51)</f>
        <v>2.321872245886818</v>
      </c>
      <c r="S52" s="253"/>
      <c r="T52" s="444"/>
    </row>
    <row r="53" spans="2:30" x14ac:dyDescent="0.2">
      <c r="C53" s="77"/>
      <c r="D53" s="90"/>
      <c r="E53" s="27"/>
      <c r="G53" s="134"/>
      <c r="H53" s="134"/>
      <c r="J53" s="37"/>
      <c r="K53" s="37"/>
      <c r="L53" s="37"/>
      <c r="M53" s="27"/>
      <c r="N53" s="27"/>
      <c r="O53" s="27"/>
      <c r="P53" s="27"/>
      <c r="Q53" s="445" t="s">
        <v>193</v>
      </c>
      <c r="R53" s="446">
        <f>T49*(1+R51)</f>
        <v>4.9100018807126631</v>
      </c>
      <c r="S53" s="446"/>
      <c r="T53" s="447"/>
    </row>
    <row r="54" spans="2:30" ht="12.75" customHeight="1" x14ac:dyDescent="0.2">
      <c r="B54" s="145" t="s">
        <v>60</v>
      </c>
      <c r="C54" s="76" t="s">
        <v>15</v>
      </c>
      <c r="E54" s="91" t="str">
        <f>IF(V42=3,"&lt; No aplicable; se puede aproximar si P(A)&lt;0.10 - ver abajo-","")</f>
        <v/>
      </c>
      <c r="G54" s="134"/>
      <c r="H54" s="134"/>
      <c r="J54" s="286" t="s">
        <v>101</v>
      </c>
      <c r="K54" s="287" t="s">
        <v>99</v>
      </c>
      <c r="L54" s="287" t="s">
        <v>100</v>
      </c>
      <c r="M54" s="286" t="s">
        <v>102</v>
      </c>
      <c r="O54" s="215"/>
      <c r="P54" s="219"/>
      <c r="Q54" s="219"/>
      <c r="R54" s="219"/>
      <c r="S54" s="219"/>
      <c r="T54" s="219"/>
      <c r="U54" s="25"/>
    </row>
    <row r="55" spans="2:30" ht="12.75" customHeight="1" x14ac:dyDescent="0.2">
      <c r="B55" s="145"/>
      <c r="C55" s="174" t="s">
        <v>117</v>
      </c>
      <c r="D55" s="238" t="s">
        <v>98</v>
      </c>
      <c r="E55" s="245">
        <f>(E24/E26)/(F24/F26)</f>
        <v>3.285714285714286</v>
      </c>
      <c r="F55" s="237" t="s">
        <v>60</v>
      </c>
      <c r="G55" s="229">
        <f>E55*EXP(-L56)</f>
        <v>2.2842388106452391</v>
      </c>
      <c r="H55" s="229">
        <f>E55*EXP(L56)</f>
        <v>4.7262651860369047</v>
      </c>
      <c r="I55" s="25" t="str">
        <f t="shared" si="0"/>
        <v>Si</v>
      </c>
      <c r="J55" s="253"/>
      <c r="K55" s="254"/>
      <c r="L55" s="254"/>
      <c r="N55" s="27"/>
      <c r="O55" s="215"/>
      <c r="P55" s="219"/>
      <c r="Q55" s="219"/>
      <c r="R55" s="219"/>
      <c r="S55" s="219"/>
      <c r="T55" s="219"/>
      <c r="U55" s="25"/>
    </row>
    <row r="56" spans="2:30" ht="12.75" customHeight="1" x14ac:dyDescent="0.2">
      <c r="B56" s="144"/>
      <c r="C56" s="76"/>
      <c r="D56" s="175" t="s">
        <v>195</v>
      </c>
      <c r="E56" s="239">
        <f>(Q28/Q30)/(R28/R30)</f>
        <v>3.2401035886052534</v>
      </c>
      <c r="F56" s="281" t="s">
        <v>60</v>
      </c>
      <c r="G56" s="229">
        <f>E56*EXP(-L56)</f>
        <v>2.2525301118791847</v>
      </c>
      <c r="H56" s="229">
        <f>E56*EXP(L56)</f>
        <v>4.6606574578194673</v>
      </c>
      <c r="I56" s="25" t="str">
        <f t="shared" si="0"/>
        <v>Si</v>
      </c>
      <c r="J56" s="288"/>
      <c r="K56" s="289">
        <f>SQRT((Q29/(Q28*Q30))+(R29/(R28*R30)))</f>
        <v>0.18548872598562216</v>
      </c>
      <c r="L56" s="289">
        <f>K56*G18</f>
        <v>0.36355122247003818</v>
      </c>
      <c r="M56" s="288"/>
      <c r="N56" s="27"/>
      <c r="O56" s="219"/>
      <c r="P56" s="219"/>
      <c r="Q56" s="219"/>
      <c r="R56" s="219"/>
      <c r="S56" s="219"/>
      <c r="T56" s="219"/>
      <c r="U56" s="25"/>
    </row>
    <row r="57" spans="2:30" ht="12.75" customHeight="1" x14ac:dyDescent="0.2">
      <c r="B57" s="144"/>
      <c r="D57" s="92" t="s">
        <v>196</v>
      </c>
      <c r="E57" s="246">
        <f>(Q23/Q25)/(R23/R25)</f>
        <v>3.1996749042971988</v>
      </c>
      <c r="F57" s="74" t="s">
        <v>60</v>
      </c>
      <c r="G57" s="229">
        <f>M57*(1-L57)</f>
        <v>2.0851151877162422</v>
      </c>
      <c r="H57" s="229">
        <f>J57+(1+L57)</f>
        <v>4.5575530406583491</v>
      </c>
      <c r="I57" s="25" t="str">
        <f t="shared" si="0"/>
        <v>Si</v>
      </c>
      <c r="J57" s="290">
        <f>E57</f>
        <v>3.1996749042971988</v>
      </c>
      <c r="K57" s="291">
        <f>SQRT(((Q24/(Q23*Q25))+(R24/(R23*R25))-G18*G18*(Q24*R24/(Q23*R23*Q25*R25))))</f>
        <v>0.18259424111057534</v>
      </c>
      <c r="L57" s="292">
        <f>K57*G18</f>
        <v>0.35787813636115051</v>
      </c>
      <c r="M57" s="293">
        <f>J57/(1-($G$18^2)*$Q$24/($Q$23*$Q$25))</f>
        <v>3.2472265870220856</v>
      </c>
      <c r="N57" s="27"/>
      <c r="O57" s="219"/>
      <c r="P57" s="219"/>
      <c r="Q57" s="219"/>
      <c r="R57" s="219"/>
      <c r="S57" s="219"/>
      <c r="T57" s="219"/>
      <c r="U57" s="25"/>
    </row>
    <row r="58" spans="2:30" ht="12.75" customHeight="1" x14ac:dyDescent="0.2">
      <c r="C58" s="76"/>
      <c r="D58" s="76"/>
      <c r="E58" s="27"/>
      <c r="F58" s="74"/>
      <c r="G58" s="229">
        <f>M58*(1-L58)</f>
        <v>2.1411840154254387</v>
      </c>
      <c r="H58" s="229">
        <f>J58+(1+L58)</f>
        <v>4.6435924220754368</v>
      </c>
      <c r="I58" s="25" t="str">
        <f t="shared" si="0"/>
        <v>Si</v>
      </c>
      <c r="J58" s="290">
        <f>E55</f>
        <v>3.285714285714286</v>
      </c>
      <c r="K58" s="294">
        <f>K57</f>
        <v>0.18259424111057534</v>
      </c>
      <c r="L58" s="294">
        <f>L57</f>
        <v>0.35787813636115051</v>
      </c>
      <c r="M58" s="293">
        <f>J58/(1-($G$18^2)*$Q$24/($Q$23*$Q$25))</f>
        <v>3.334544635019173</v>
      </c>
      <c r="N58" s="27"/>
      <c r="O58" s="219"/>
      <c r="P58" s="219"/>
      <c r="Q58" s="219"/>
      <c r="R58" s="219"/>
      <c r="S58" s="219"/>
      <c r="T58" s="219"/>
      <c r="U58" s="25"/>
    </row>
    <row r="59" spans="2:30" ht="12.75" customHeight="1" x14ac:dyDescent="0.2">
      <c r="C59" s="284" t="s">
        <v>109</v>
      </c>
      <c r="D59" s="76"/>
      <c r="E59" s="74"/>
      <c r="F59" s="83"/>
      <c r="G59" s="27"/>
      <c r="H59" s="27"/>
      <c r="J59" s="290"/>
      <c r="K59" s="290"/>
      <c r="L59" s="290"/>
      <c r="M59" s="290"/>
      <c r="N59" s="27"/>
      <c r="O59" s="219"/>
      <c r="P59" s="219"/>
      <c r="Q59" s="219"/>
      <c r="R59" s="219"/>
      <c r="S59" s="219"/>
      <c r="T59" s="219"/>
      <c r="U59" s="25"/>
    </row>
    <row r="60" spans="2:30" ht="12.75" customHeight="1" x14ac:dyDescent="0.2">
      <c r="C60" s="76"/>
      <c r="D60" s="76" t="s">
        <v>106</v>
      </c>
      <c r="E60" s="230">
        <f>E55</f>
        <v>3.285714285714286</v>
      </c>
      <c r="F60" s="237" t="s">
        <v>60</v>
      </c>
      <c r="G60" s="229">
        <f>E60*EXP(-L60)</f>
        <v>2.2757561710975711</v>
      </c>
      <c r="H60" s="229">
        <f>E60*EXP(L60)</f>
        <v>4.7438818378069882</v>
      </c>
      <c r="I60" s="25" t="str">
        <f t="shared" si="0"/>
        <v>Si</v>
      </c>
      <c r="J60" s="253"/>
      <c r="K60" s="253">
        <f>SQRT(E25/(E24*E26)+F25/(F24*F26))</f>
        <v>0.18738695695167998</v>
      </c>
      <c r="L60" s="253">
        <f>K60*G18</f>
        <v>0.36727168679785016</v>
      </c>
      <c r="M60" s="253"/>
      <c r="N60" s="27"/>
      <c r="O60" s="219"/>
      <c r="P60" s="219"/>
      <c r="Q60" s="219"/>
      <c r="R60" s="219"/>
      <c r="S60" s="219"/>
      <c r="T60" s="219"/>
      <c r="U60" s="25"/>
    </row>
    <row r="61" spans="2:30" ht="12.75" customHeight="1" x14ac:dyDescent="0.2">
      <c r="C61" s="76"/>
      <c r="D61" s="76" t="s">
        <v>107</v>
      </c>
      <c r="E61" s="169">
        <f>E60</f>
        <v>3.285714285714286</v>
      </c>
      <c r="F61" s="240">
        <f>(Q28/Q30)/(R28/R30)</f>
        <v>3.2401035886052534</v>
      </c>
      <c r="G61" s="229">
        <f>F61*EXP(-L61)</f>
        <v>2.2525301118791847</v>
      </c>
      <c r="H61" s="229">
        <f>F61*EXP(L61)</f>
        <v>4.6606574578194673</v>
      </c>
      <c r="I61" s="25" t="str">
        <f t="shared" si="0"/>
        <v>Si</v>
      </c>
      <c r="J61" s="295"/>
      <c r="K61" s="296">
        <f>SQRT((1/Q28)+(1/R28)-(1/Q30)-(1/R30))</f>
        <v>0.18548872598562216</v>
      </c>
      <c r="L61" s="295">
        <f>K61*G18</f>
        <v>0.36355122247003818</v>
      </c>
      <c r="M61" s="295"/>
      <c r="N61" s="27"/>
      <c r="O61" s="219"/>
      <c r="P61" s="219"/>
      <c r="Q61" s="219"/>
      <c r="R61" s="219"/>
      <c r="S61" s="219"/>
      <c r="T61" s="219"/>
      <c r="U61" s="25"/>
    </row>
    <row r="62" spans="2:30" ht="13.5" customHeight="1" x14ac:dyDescent="0.2">
      <c r="C62" s="76"/>
      <c r="D62" s="76" t="s">
        <v>108</v>
      </c>
      <c r="E62" s="169">
        <f>E61</f>
        <v>3.285714285714286</v>
      </c>
      <c r="F62" s="246">
        <f>(Q23/Q25)/(R23/R25)</f>
        <v>3.1996749042971988</v>
      </c>
      <c r="G62" s="229">
        <f>J62*(1-L62)</f>
        <v>2.0851151877162422</v>
      </c>
      <c r="H62" s="229">
        <f>J62*(1+L62)</f>
        <v>4.4093379863279285</v>
      </c>
      <c r="I62" s="25" t="str">
        <f t="shared" si="0"/>
        <v>Si</v>
      </c>
      <c r="J62" s="290">
        <f>F62/(1-((G18^2)*Q24/(Q23*Q25)))</f>
        <v>3.2472265870220856</v>
      </c>
      <c r="K62" s="297">
        <f>SQRT( (Q24/(Q23*Q25)) + (R24/(R23*R25)) -( G18*G18* (Q24/(Q23*Q25)) * (R24/(R23*R25))))</f>
        <v>0.18259424111057534</v>
      </c>
      <c r="L62" s="295">
        <f>K62*G18</f>
        <v>0.35787813636115051</v>
      </c>
      <c r="M62" s="295"/>
      <c r="N62" s="236"/>
      <c r="O62" s="219"/>
      <c r="P62" s="219"/>
      <c r="Q62" s="219"/>
      <c r="R62" s="219"/>
      <c r="S62" s="219"/>
      <c r="T62" s="219"/>
      <c r="U62" s="25"/>
    </row>
    <row r="63" spans="2:30" ht="12.75" customHeight="1" x14ac:dyDescent="0.2">
      <c r="C63" s="76"/>
      <c r="D63" s="76" t="s">
        <v>197</v>
      </c>
      <c r="E63" s="438">
        <f>R48</f>
        <v>3.1996749042971988</v>
      </c>
      <c r="F63" s="438" t="s">
        <v>60</v>
      </c>
      <c r="G63" s="229">
        <f>R52</f>
        <v>2.321872245886818</v>
      </c>
      <c r="H63" s="229">
        <f>R53</f>
        <v>4.9100018807126631</v>
      </c>
      <c r="I63" s="25" t="str">
        <f t="shared" si="0"/>
        <v>Si</v>
      </c>
      <c r="J63" s="81"/>
      <c r="K63" s="247"/>
      <c r="L63" s="81"/>
      <c r="M63" s="81"/>
      <c r="N63" s="236"/>
      <c r="O63" s="219"/>
      <c r="P63" s="219"/>
      <c r="Q63" s="219"/>
      <c r="R63" s="219"/>
      <c r="S63" s="219"/>
      <c r="T63" s="219"/>
      <c r="U63" s="25"/>
    </row>
    <row r="64" spans="2:30" ht="12.75" customHeight="1" x14ac:dyDescent="0.2">
      <c r="C64" s="76"/>
      <c r="D64" s="76"/>
      <c r="E64" s="74"/>
      <c r="F64" s="145"/>
      <c r="G64" s="27"/>
      <c r="H64" s="27"/>
      <c r="J64" s="81"/>
      <c r="K64" s="81"/>
      <c r="L64" s="81"/>
      <c r="M64" s="81"/>
      <c r="N64" s="27"/>
      <c r="O64" s="219"/>
      <c r="P64" s="219"/>
      <c r="Q64" s="219"/>
      <c r="R64" s="219"/>
      <c r="S64" s="219"/>
      <c r="T64" s="219"/>
      <c r="U64" s="25"/>
    </row>
    <row r="65" spans="2:26" ht="12.75" customHeight="1" x14ac:dyDescent="0.2">
      <c r="C65" s="76"/>
      <c r="D65" s="76"/>
      <c r="E65" s="79"/>
      <c r="F65" s="89"/>
      <c r="J65" s="81"/>
      <c r="K65" s="92"/>
      <c r="L65" s="92"/>
      <c r="M65" s="92"/>
      <c r="N65" s="27"/>
      <c r="O65" s="219"/>
      <c r="P65" s="219"/>
      <c r="Q65" s="219"/>
      <c r="R65" s="219"/>
      <c r="S65" s="219"/>
      <c r="T65" s="219"/>
      <c r="U65" s="25"/>
      <c r="Y65" s="356"/>
      <c r="Z65" s="356"/>
    </row>
    <row r="66" spans="2:26" ht="12.75" customHeight="1" x14ac:dyDescent="0.2">
      <c r="C66" s="76"/>
      <c r="D66" s="76"/>
      <c r="E66" s="79"/>
      <c r="F66" s="89"/>
      <c r="J66" s="81"/>
      <c r="K66" s="92"/>
      <c r="L66" s="92"/>
      <c r="M66" s="92"/>
      <c r="N66" s="83" t="s">
        <v>6</v>
      </c>
      <c r="O66" s="76" t="s">
        <v>47</v>
      </c>
      <c r="S66" s="219"/>
      <c r="T66" s="219"/>
      <c r="U66" s="25"/>
      <c r="Y66" s="356"/>
      <c r="Z66" s="356"/>
    </row>
    <row r="67" spans="2:26" ht="12.75" customHeight="1" x14ac:dyDescent="0.2">
      <c r="B67" s="145" t="s">
        <v>60</v>
      </c>
      <c r="C67" s="76" t="s">
        <v>55</v>
      </c>
      <c r="D67" s="76"/>
      <c r="F67" s="102"/>
      <c r="J67" s="27"/>
      <c r="P67" s="25" t="s">
        <v>48</v>
      </c>
      <c r="R67" s="61">
        <f>E68</f>
        <v>9</v>
      </c>
      <c r="S67" s="362"/>
      <c r="T67" s="363">
        <f>SQRT(SUM(U67:V69))</f>
        <v>0.31269438398822863</v>
      </c>
      <c r="U67" s="364">
        <f>1/E24</f>
        <v>1.3333333333333334E-2</v>
      </c>
      <c r="V67" s="365">
        <f>1/F24</f>
        <v>0.04</v>
      </c>
      <c r="Y67" s="356"/>
      <c r="Z67" s="356"/>
    </row>
    <row r="68" spans="2:26" ht="12.75" customHeight="1" x14ac:dyDescent="0.2">
      <c r="B68" s="144"/>
      <c r="C68" s="76" t="s">
        <v>50</v>
      </c>
      <c r="D68" s="25" t="s">
        <v>146</v>
      </c>
      <c r="E68" s="233">
        <f>E24*F25/(F24*E25)</f>
        <v>9</v>
      </c>
      <c r="G68" s="228">
        <f>E68*EXP(-L69)</f>
        <v>6.5989230993496459</v>
      </c>
      <c r="H68" s="228">
        <f>J68*EXP(M69)</f>
        <v>16.534298055903268</v>
      </c>
      <c r="I68" s="61" t="str">
        <f>$V$49</f>
        <v>Si</v>
      </c>
      <c r="J68" s="97">
        <f>E68</f>
        <v>9</v>
      </c>
      <c r="L68" s="257" t="s">
        <v>99</v>
      </c>
      <c r="M68" s="257" t="s">
        <v>200</v>
      </c>
      <c r="P68" s="25" t="s">
        <v>51</v>
      </c>
      <c r="R68" s="134">
        <f>R67*T68</f>
        <v>4.8761445020711758</v>
      </c>
      <c r="S68" s="366"/>
      <c r="T68" s="222">
        <f>EXP(-U70)</f>
        <v>0.541793833563464</v>
      </c>
      <c r="U68" s="367"/>
      <c r="V68" s="368"/>
      <c r="Y68" s="355"/>
      <c r="Z68" s="355"/>
    </row>
    <row r="69" spans="2:26" ht="12.75" customHeight="1" x14ac:dyDescent="0.2">
      <c r="B69" s="144"/>
      <c r="C69" s="76"/>
      <c r="D69" s="61" t="str">
        <f>D56</f>
        <v>h1=0.5</v>
      </c>
      <c r="E69" s="244">
        <f>(Q28*R29)/(R28*Q29)</f>
        <v>8.7852780456444872</v>
      </c>
      <c r="F69" s="89"/>
      <c r="G69" s="241">
        <f>J69*EXP(-M69)</f>
        <v>4.7820295813870839</v>
      </c>
      <c r="H69" s="243">
        <f>J69*EXP(M69)</f>
        <v>16.139822856741034</v>
      </c>
      <c r="I69" s="61" t="str">
        <f t="shared" ref="I69:I80" si="1">$V$49</f>
        <v>Si</v>
      </c>
      <c r="J69" s="97">
        <f>E69</f>
        <v>8.7852780456444872</v>
      </c>
      <c r="L69" s="254">
        <f>S36</f>
        <v>0.31031810838218948</v>
      </c>
      <c r="M69" s="453">
        <f>G18*L69</f>
        <v>0.60821231617968829</v>
      </c>
      <c r="P69" s="25" t="s">
        <v>53</v>
      </c>
      <c r="R69" s="134">
        <f>R67*T69</f>
        <v>16.611484742832108</v>
      </c>
      <c r="S69" s="369"/>
      <c r="T69" s="370">
        <f>EXP(U70)</f>
        <v>1.8457205269813453</v>
      </c>
      <c r="U69" s="370">
        <f>1/E25</f>
        <v>3.3333333333333333E-2</v>
      </c>
      <c r="V69" s="371">
        <f>1/F25</f>
        <v>1.1111111111111112E-2</v>
      </c>
      <c r="Y69" s="355"/>
      <c r="Z69" s="355"/>
    </row>
    <row r="70" spans="2:26" ht="12.75" customHeight="1" x14ac:dyDescent="0.2">
      <c r="C70" s="76"/>
      <c r="D70" s="348" t="s">
        <v>20</v>
      </c>
      <c r="E70" s="350">
        <f>R67</f>
        <v>9</v>
      </c>
      <c r="F70" s="26"/>
      <c r="G70" s="349">
        <f>R68</f>
        <v>4.8761445020711758</v>
      </c>
      <c r="H70" s="349">
        <f>R69</f>
        <v>16.611484742832108</v>
      </c>
      <c r="I70" s="61" t="str">
        <f t="shared" si="1"/>
        <v>Si</v>
      </c>
      <c r="J70" s="27"/>
      <c r="L70" s="104"/>
      <c r="M70" s="104"/>
      <c r="N70" s="27"/>
      <c r="O70" s="138" t="str">
        <f>"OR (IC 95%) ="&amp;ROUND(R67,3)&amp;" ("&amp;ROUND(R68,3)&amp;"; "&amp;ROUND(R69,3)&amp;")"</f>
        <v>OR (IC 95%) =9 (4,876; 16,611)</v>
      </c>
      <c r="P70" s="27"/>
      <c r="Q70" s="27"/>
      <c r="R70" s="27"/>
      <c r="T70" s="361" t="s">
        <v>49</v>
      </c>
      <c r="U70" s="361">
        <f>T67*G18</f>
        <v>0.61286973078486617</v>
      </c>
      <c r="V70" s="361"/>
      <c r="W70" s="357"/>
      <c r="Y70" s="357"/>
    </row>
    <row r="71" spans="2:26" ht="12.75" hidden="1" customHeight="1" x14ac:dyDescent="0.2">
      <c r="C71" s="76"/>
      <c r="D71" s="76"/>
      <c r="F71" s="102"/>
      <c r="I71" s="61" t="str">
        <f t="shared" si="1"/>
        <v>Si</v>
      </c>
      <c r="N71" s="221"/>
      <c r="O71" s="221"/>
      <c r="P71" s="221"/>
      <c r="Q71" s="221"/>
      <c r="R71" s="221"/>
      <c r="S71" s="221"/>
    </row>
    <row r="72" spans="2:26" ht="12.75" hidden="1" customHeight="1" x14ac:dyDescent="0.2">
      <c r="C72" s="76"/>
      <c r="D72" s="76"/>
      <c r="F72" s="93" t="s">
        <v>21</v>
      </c>
      <c r="I72" s="61" t="str">
        <f t="shared" si="1"/>
        <v>Si</v>
      </c>
      <c r="J72" s="105"/>
      <c r="K72" s="105"/>
      <c r="L72" s="105"/>
      <c r="M72" s="95"/>
      <c r="N72" s="221"/>
      <c r="O72" s="221"/>
      <c r="P72" s="221"/>
      <c r="Q72" s="221"/>
      <c r="R72" s="221"/>
      <c r="S72" s="221"/>
    </row>
    <row r="73" spans="2:26" ht="12.75" hidden="1" customHeight="1" x14ac:dyDescent="0.2">
      <c r="C73" s="76"/>
      <c r="D73" s="76"/>
      <c r="E73" s="79"/>
      <c r="F73" s="96" t="s">
        <v>22</v>
      </c>
      <c r="I73" s="61" t="str">
        <f t="shared" si="1"/>
        <v>Si</v>
      </c>
      <c r="J73" s="74" t="s">
        <v>56</v>
      </c>
      <c r="K73" s="74"/>
      <c r="L73" s="74"/>
      <c r="M73" s="106">
        <f>E24/E25</f>
        <v>2.5</v>
      </c>
      <c r="N73" s="221"/>
      <c r="O73" s="221"/>
      <c r="P73" s="221"/>
      <c r="Q73" s="221"/>
      <c r="R73" s="221"/>
      <c r="S73" s="221"/>
    </row>
    <row r="74" spans="2:26" ht="12.75" hidden="1" customHeight="1" x14ac:dyDescent="0.2">
      <c r="C74" s="76"/>
      <c r="D74" s="76"/>
      <c r="E74" s="79" t="s">
        <v>18</v>
      </c>
      <c r="F74" s="96" t="s">
        <v>23</v>
      </c>
      <c r="I74" s="61" t="str">
        <f t="shared" si="1"/>
        <v>Si</v>
      </c>
      <c r="J74" s="74" t="s">
        <v>57</v>
      </c>
      <c r="K74" s="74"/>
      <c r="L74" s="74"/>
      <c r="M74" s="106">
        <f>F24/F25</f>
        <v>0.27777777777777779</v>
      </c>
      <c r="N74" s="221"/>
      <c r="O74" s="221"/>
      <c r="P74" s="221"/>
      <c r="Q74" s="221"/>
      <c r="R74" s="221"/>
      <c r="S74" s="221"/>
    </row>
    <row r="75" spans="2:26" ht="12.75" hidden="1" customHeight="1" x14ac:dyDescent="0.2">
      <c r="C75" s="76"/>
      <c r="D75" s="76"/>
      <c r="E75" s="79"/>
      <c r="F75" s="96" t="s">
        <v>19</v>
      </c>
      <c r="I75" s="61" t="str">
        <f t="shared" si="1"/>
        <v>Si</v>
      </c>
      <c r="J75" s="97" t="e">
        <f>I72*EXP(I76)</f>
        <v>#VALUE!</v>
      </c>
      <c r="K75" s="97"/>
      <c r="L75" s="97"/>
      <c r="M75" s="98"/>
      <c r="N75" s="221"/>
      <c r="O75" s="221"/>
      <c r="P75" s="221"/>
      <c r="Q75" s="221"/>
      <c r="R75" s="221"/>
      <c r="S75" s="221"/>
    </row>
    <row r="76" spans="2:26" ht="12.75" hidden="1" customHeight="1" x14ac:dyDescent="0.2">
      <c r="C76" s="76"/>
      <c r="D76" s="76"/>
      <c r="E76" s="79"/>
      <c r="F76" s="107" t="s">
        <v>17</v>
      </c>
      <c r="I76" s="61" t="str">
        <f t="shared" si="1"/>
        <v>Si</v>
      </c>
      <c r="J76" s="101"/>
      <c r="K76" s="101"/>
      <c r="L76" s="101"/>
      <c r="M76" s="100"/>
      <c r="N76" s="221"/>
      <c r="O76" s="221"/>
      <c r="P76" s="221"/>
      <c r="Q76" s="221"/>
      <c r="R76" s="221"/>
      <c r="S76" s="221"/>
    </row>
    <row r="77" spans="2:26" ht="12.75" hidden="1" customHeight="1" x14ac:dyDescent="0.2">
      <c r="C77" s="76"/>
      <c r="D77" s="76"/>
      <c r="E77" s="79"/>
      <c r="F77" s="89"/>
      <c r="I77" s="61" t="str">
        <f t="shared" si="1"/>
        <v>Si</v>
      </c>
      <c r="J77" s="92"/>
      <c r="K77" s="92"/>
      <c r="L77" s="92"/>
      <c r="N77" s="221"/>
      <c r="O77" s="221"/>
      <c r="P77" s="221"/>
      <c r="Q77" s="221"/>
      <c r="R77" s="221"/>
      <c r="S77" s="221"/>
    </row>
    <row r="78" spans="2:26" ht="12.75" hidden="1" customHeight="1" x14ac:dyDescent="0.2">
      <c r="C78" s="76"/>
      <c r="D78" s="76"/>
      <c r="E78" s="79"/>
      <c r="F78" s="89"/>
      <c r="I78" s="61" t="str">
        <f t="shared" si="1"/>
        <v>Si</v>
      </c>
      <c r="J78" s="92"/>
      <c r="K78" s="92"/>
      <c r="L78" s="92"/>
      <c r="N78" s="221"/>
      <c r="O78" s="221"/>
      <c r="P78" s="221"/>
      <c r="Q78" s="221"/>
      <c r="R78" s="221"/>
      <c r="S78" s="221"/>
    </row>
    <row r="79" spans="2:26" ht="12.75" hidden="1" customHeight="1" x14ac:dyDescent="0.2">
      <c r="C79" s="76"/>
      <c r="D79" s="76"/>
      <c r="E79" s="79"/>
      <c r="F79" s="89"/>
      <c r="I79" s="61" t="str">
        <f t="shared" si="1"/>
        <v>Si</v>
      </c>
      <c r="J79" s="92"/>
      <c r="K79" s="92"/>
      <c r="L79" s="92"/>
      <c r="N79" s="221"/>
      <c r="O79" s="221"/>
      <c r="P79" s="221"/>
      <c r="Q79" s="221"/>
      <c r="R79" s="221"/>
      <c r="S79" s="221"/>
    </row>
    <row r="80" spans="2:26" ht="12.75" hidden="1" customHeight="1" x14ac:dyDescent="0.2">
      <c r="C80" s="76"/>
      <c r="D80" s="76"/>
      <c r="E80" s="79"/>
      <c r="F80" s="89"/>
      <c r="I80" s="61" t="str">
        <f t="shared" si="1"/>
        <v>Si</v>
      </c>
      <c r="J80" s="92"/>
      <c r="K80" s="92"/>
      <c r="L80" s="92"/>
      <c r="N80" s="221"/>
      <c r="O80" s="221"/>
      <c r="P80" s="221"/>
      <c r="Q80" s="221"/>
      <c r="R80" s="221"/>
      <c r="S80" s="221"/>
    </row>
    <row r="81" spans="2:21" ht="17.25" customHeight="1" x14ac:dyDescent="0.2">
      <c r="B81" s="145" t="s">
        <v>60</v>
      </c>
      <c r="C81" s="76" t="s">
        <v>24</v>
      </c>
      <c r="D81" s="76"/>
      <c r="E81" s="91" t="str">
        <f>IF(V42=3,"&lt; No aplicable; se puede aproximar si P(A)&lt;0.10 - ver abajo-",IF(V42=2,"&lt; No aplicable en este tipo de estudio",""))</f>
        <v/>
      </c>
      <c r="F81" s="102"/>
      <c r="I81" s="27"/>
      <c r="N81" s="220"/>
      <c r="O81" s="220"/>
      <c r="P81" s="221"/>
      <c r="Q81" s="92"/>
      <c r="R81" s="92"/>
      <c r="S81" s="220"/>
    </row>
    <row r="82" spans="2:21" x14ac:dyDescent="0.2">
      <c r="B82" s="144"/>
      <c r="C82" s="473" t="s">
        <v>217</v>
      </c>
      <c r="D82" s="26" t="s">
        <v>212</v>
      </c>
      <c r="E82" s="474">
        <f>(E24*F25-F24*E25)/(G24*F26)</f>
        <v>0.52173913043478259</v>
      </c>
      <c r="F82" s="475" t="s">
        <v>60</v>
      </c>
      <c r="G82" s="474">
        <f>MIN(Q89,R89)</f>
        <v>0.36418802804854</v>
      </c>
      <c r="H82" s="474">
        <f>MAX(Q89:R89)</f>
        <v>0.64024983887101117</v>
      </c>
      <c r="I82" s="26" t="str">
        <f>IF($V$41=1,$V$49,$V$48)</f>
        <v>Si</v>
      </c>
      <c r="K82" s="175"/>
      <c r="L82" s="175"/>
      <c r="N82" s="220"/>
      <c r="O82" s="220"/>
      <c r="S82" s="220"/>
    </row>
    <row r="83" spans="2:21" ht="12.75" customHeight="1" x14ac:dyDescent="0.2">
      <c r="C83" s="473"/>
      <c r="D83" s="473" t="s">
        <v>213</v>
      </c>
      <c r="E83" s="476" t="str">
        <f>IF($V$41=3,D97,"-")</f>
        <v>-</v>
      </c>
      <c r="F83" s="475" t="s">
        <v>60</v>
      </c>
      <c r="G83" s="350" t="str">
        <f>IF($V$41=3,I97,"-")</f>
        <v>-</v>
      </c>
      <c r="H83" s="350" t="str">
        <f>IF($V$41=3,J97,"-")</f>
        <v>-</v>
      </c>
      <c r="I83" s="480" t="str">
        <f>IF($V$41=3,V50,"")</f>
        <v/>
      </c>
      <c r="N83" s="177"/>
      <c r="Q83" s="178"/>
      <c r="R83" s="178"/>
      <c r="S83" s="178"/>
      <c r="T83" s="178"/>
      <c r="U83" s="95"/>
    </row>
    <row r="84" spans="2:21" ht="12.75" customHeight="1" x14ac:dyDescent="0.2">
      <c r="C84" s="176"/>
      <c r="D84" s="473" t="s">
        <v>216</v>
      </c>
      <c r="E84" s="476" t="str">
        <f>IF($V$41=3,D98,"-")</f>
        <v>-</v>
      </c>
      <c r="F84" s="475" t="s">
        <v>60</v>
      </c>
      <c r="G84" s="350" t="str">
        <f>IF($V$41=3,I98,"-")</f>
        <v>-</v>
      </c>
      <c r="H84" s="350" t="str">
        <f>IF($V$41=3,J98,"-")</f>
        <v>-</v>
      </c>
      <c r="I84" s="480" t="str">
        <f>IF($V$41=3,V50,"")</f>
        <v/>
      </c>
      <c r="N84" s="179" t="s">
        <v>27</v>
      </c>
      <c r="Q84" s="180">
        <f>LN(1-E82)</f>
        <v>-0.73759894313077912</v>
      </c>
      <c r="R84" s="181" t="s">
        <v>28</v>
      </c>
      <c r="S84" s="181"/>
      <c r="T84" s="181"/>
      <c r="U84" s="108">
        <f>G18*SQRT((E25+E82*(E24+F25))/(G26*F24))</f>
        <v>0.28474654219242063</v>
      </c>
    </row>
    <row r="85" spans="2:21" ht="12.75" customHeight="1" x14ac:dyDescent="0.2">
      <c r="C85" s="176"/>
      <c r="D85" s="174"/>
      <c r="E85" s="176"/>
      <c r="N85" s="179" t="s">
        <v>29</v>
      </c>
      <c r="Q85" s="180">
        <f>Q84-U84</f>
        <v>-1.0223454853231997</v>
      </c>
      <c r="R85" s="180">
        <f>Q84+U84</f>
        <v>-0.45285240093835849</v>
      </c>
      <c r="S85" s="180"/>
      <c r="T85" s="180"/>
      <c r="U85" s="109"/>
    </row>
    <row r="86" spans="2:21" ht="12.75" customHeight="1" x14ac:dyDescent="0.2">
      <c r="C86" s="176"/>
      <c r="D86" s="174"/>
      <c r="E86" s="176"/>
      <c r="N86" s="179" t="s">
        <v>30</v>
      </c>
      <c r="Q86" s="180">
        <f>EXP(Q85)</f>
        <v>0.35975016112898889</v>
      </c>
      <c r="R86" s="180">
        <f>EXP(R85)</f>
        <v>0.63581197195146</v>
      </c>
      <c r="S86" s="180"/>
      <c r="T86" s="180"/>
      <c r="U86" s="98"/>
    </row>
    <row r="87" spans="2:21" ht="15" customHeight="1" x14ac:dyDescent="0.2">
      <c r="C87" s="176"/>
      <c r="D87" s="174"/>
      <c r="E87" s="176"/>
      <c r="N87" s="182"/>
      <c r="Q87" s="183">
        <f>1-Q86</f>
        <v>0.64024983887101117</v>
      </c>
      <c r="R87" s="183">
        <f>1-R86</f>
        <v>0.36418802804854</v>
      </c>
      <c r="S87" s="183"/>
      <c r="T87" s="183"/>
      <c r="U87" s="100"/>
    </row>
    <row r="88" spans="2:21" ht="14.25" customHeight="1" x14ac:dyDescent="0.2">
      <c r="C88" s="176"/>
      <c r="D88" s="174"/>
      <c r="E88" s="176"/>
      <c r="N88" s="184" t="s">
        <v>31</v>
      </c>
      <c r="Q88" s="185">
        <f>G18*SQRT((E25+E82*(E24+F25))/(G26*F24))</f>
        <v>0.28474654219242063</v>
      </c>
      <c r="R88" s="186"/>
      <c r="S88" s="186"/>
      <c r="T88" s="186"/>
      <c r="U88" s="112"/>
    </row>
    <row r="89" spans="2:21" ht="12" customHeight="1" x14ac:dyDescent="0.2">
      <c r="C89" s="176"/>
      <c r="D89" s="174"/>
      <c r="E89" s="176"/>
      <c r="N89" s="187">
        <f>(1-E82)</f>
        <v>0.47826086956521741</v>
      </c>
      <c r="Q89" s="185">
        <f>1-N89*EXP(Q88)</f>
        <v>0.36418802804854</v>
      </c>
      <c r="R89" s="185">
        <f>1-N89*EXP(-Q88)</f>
        <v>0.64024983887101117</v>
      </c>
      <c r="S89" s="185"/>
      <c r="T89" s="185"/>
      <c r="U89" s="113"/>
    </row>
    <row r="90" spans="2:21" x14ac:dyDescent="0.2">
      <c r="C90" s="176"/>
      <c r="D90" s="174"/>
      <c r="E90" s="176"/>
      <c r="F90" s="188"/>
      <c r="I90" s="176"/>
      <c r="J90" s="176"/>
      <c r="K90" s="176"/>
      <c r="L90" s="176"/>
      <c r="N90" s="103"/>
      <c r="O90" s="103"/>
      <c r="P90" s="103"/>
      <c r="Q90" s="103"/>
      <c r="R90" s="103"/>
      <c r="S90" s="103"/>
    </row>
    <row r="91" spans="2:21" x14ac:dyDescent="0.2">
      <c r="B91" s="145" t="s">
        <v>60</v>
      </c>
      <c r="C91" s="121" t="s">
        <v>86</v>
      </c>
      <c r="D91" s="114"/>
      <c r="E91" s="99"/>
      <c r="F91" s="115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2:21" x14ac:dyDescent="0.2">
      <c r="D92" s="76"/>
      <c r="F92" s="102"/>
    </row>
    <row r="93" spans="2:21" ht="12.75" customHeight="1" x14ac:dyDescent="0.2">
      <c r="B93" s="144"/>
      <c r="C93" s="77" t="s">
        <v>32</v>
      </c>
      <c r="D93" s="81">
        <f>E68</f>
        <v>9</v>
      </c>
      <c r="E93" s="76" t="s">
        <v>33</v>
      </c>
      <c r="F93" s="102"/>
      <c r="N93" s="215"/>
      <c r="O93" s="216"/>
      <c r="P93" s="216"/>
      <c r="Q93" s="216"/>
      <c r="R93" s="216"/>
      <c r="S93" s="216"/>
    </row>
    <row r="94" spans="2:21" x14ac:dyDescent="0.2">
      <c r="C94" s="27"/>
      <c r="D94" s="81">
        <f>E69</f>
        <v>8.7852780456444872</v>
      </c>
      <c r="E94" s="72" t="s">
        <v>34</v>
      </c>
      <c r="F94" s="89" t="s">
        <v>14</v>
      </c>
      <c r="I94" s="92">
        <f>G69</f>
        <v>4.7820295813870839</v>
      </c>
      <c r="J94" s="92">
        <f>H69</f>
        <v>16.139822856741034</v>
      </c>
      <c r="K94" s="92"/>
      <c r="L94" s="92"/>
      <c r="N94" s="216"/>
      <c r="O94" s="216"/>
      <c r="P94" s="216"/>
      <c r="Q94" s="216"/>
      <c r="R94" s="216"/>
      <c r="S94" s="216"/>
    </row>
    <row r="95" spans="2:21" ht="12.75" customHeight="1" x14ac:dyDescent="0.2">
      <c r="D95" s="81"/>
      <c r="E95" s="72"/>
      <c r="F95" s="116" t="s">
        <v>35</v>
      </c>
      <c r="I95" s="117"/>
      <c r="J95" s="117"/>
      <c r="K95" s="117"/>
      <c r="L95" s="117"/>
      <c r="M95" s="95"/>
      <c r="N95" s="216"/>
      <c r="O95" s="216"/>
      <c r="P95" s="216"/>
      <c r="Q95" s="216"/>
      <c r="R95" s="216"/>
      <c r="S95" s="216"/>
    </row>
    <row r="96" spans="2:21" ht="12.75" customHeight="1" x14ac:dyDescent="0.2">
      <c r="D96" s="81"/>
      <c r="E96" s="72"/>
      <c r="F96" s="89"/>
      <c r="I96" s="92"/>
      <c r="J96" s="92"/>
      <c r="K96" s="92"/>
      <c r="L96" s="92"/>
      <c r="M96" s="478" t="s">
        <v>36</v>
      </c>
      <c r="N96" s="1382" t="s">
        <v>29</v>
      </c>
      <c r="O96" s="1382"/>
      <c r="P96" s="1382" t="s">
        <v>30</v>
      </c>
      <c r="Q96" s="1382"/>
      <c r="R96" s="216"/>
      <c r="S96" s="216"/>
    </row>
    <row r="97" spans="2:19" ht="12.75" customHeight="1" x14ac:dyDescent="0.2">
      <c r="B97" s="144"/>
      <c r="C97" s="76" t="s">
        <v>25</v>
      </c>
      <c r="D97" s="477">
        <f>(E24*F25-F24*E25)/(F25*G24)</f>
        <v>0.66666666666666663</v>
      </c>
      <c r="E97" s="76" t="s">
        <v>214</v>
      </c>
      <c r="F97" s="89" t="s">
        <v>26</v>
      </c>
      <c r="I97" s="92">
        <f>1-Q97</f>
        <v>0.52468045735071267</v>
      </c>
      <c r="J97" s="92">
        <f>1-P97</f>
        <v>0.76623912727885868</v>
      </c>
      <c r="K97" s="92"/>
      <c r="L97" s="92"/>
      <c r="M97" s="479">
        <f>LN(1-D97)</f>
        <v>-1.0986122886681096</v>
      </c>
      <c r="N97" s="479">
        <f>M97-G18*SQRT((E24/(F24*G24))+(E25/(F25*G25)))</f>
        <v>-1.4534565975800551</v>
      </c>
      <c r="O97" s="479">
        <f>M97+G18*SQRT((E24/(F24*G24))+(E25/(F25*G25)))</f>
        <v>-0.74376797975616404</v>
      </c>
      <c r="P97" s="479">
        <f>EXP(N97)</f>
        <v>0.23376087272114127</v>
      </c>
      <c r="Q97" s="479">
        <f>EXP(O97)</f>
        <v>0.47531954264928739</v>
      </c>
      <c r="R97" s="217"/>
      <c r="S97" s="217"/>
    </row>
    <row r="98" spans="2:19" x14ac:dyDescent="0.2">
      <c r="D98" s="477">
        <f>(Q28*R29-R28*Q29)/(R29*S28)</f>
        <v>0.66243640938679504</v>
      </c>
      <c r="E98" s="76" t="s">
        <v>215</v>
      </c>
      <c r="I98" s="92">
        <f>1-Q98</f>
        <v>0.5204203024718661</v>
      </c>
      <c r="J98" s="92">
        <f>1-P98</f>
        <v>0.76239782815035717</v>
      </c>
      <c r="M98" s="479">
        <f>LN(1-D98)</f>
        <v>-1.0860013697860185</v>
      </c>
      <c r="N98" s="479">
        <f>M98-G18*SQRT((Q28/(R28*S28))+(Q29/(R29*S29)))</f>
        <v>-1.4371575507540988</v>
      </c>
      <c r="O98" s="479">
        <f>M98+G18*SQRT((Q28/(R28*S28))+(Q29/(R29*S29)))</f>
        <v>-0.73484518881793826</v>
      </c>
      <c r="P98" s="479">
        <f>EXP(N98)</f>
        <v>0.23760217184964283</v>
      </c>
      <c r="Q98" s="479">
        <f>EXP(O98)</f>
        <v>0.4795796975281339</v>
      </c>
      <c r="R98" s="217"/>
      <c r="S98" s="217"/>
    </row>
    <row r="99" spans="2:19" ht="12.75" customHeight="1" x14ac:dyDescent="0.2">
      <c r="D99" s="76"/>
      <c r="J99" s="27"/>
      <c r="K99" s="27"/>
      <c r="L99" s="27"/>
      <c r="M99" s="27"/>
      <c r="N99" s="217"/>
      <c r="O99" s="217"/>
      <c r="P99" s="217"/>
      <c r="Q99" s="217"/>
      <c r="R99" s="217"/>
      <c r="S99" s="217"/>
    </row>
    <row r="100" spans="2:19" ht="12.75" customHeight="1" x14ac:dyDescent="0.2">
      <c r="E100" s="79"/>
      <c r="J100" s="27"/>
      <c r="K100" s="97"/>
      <c r="L100" s="97"/>
      <c r="M100" s="27"/>
      <c r="N100" s="217"/>
      <c r="O100" s="217"/>
      <c r="P100" s="217"/>
      <c r="Q100" s="217"/>
      <c r="R100" s="217"/>
      <c r="S100" s="217"/>
    </row>
    <row r="101" spans="2:19" ht="12.75" customHeight="1" x14ac:dyDescent="0.2">
      <c r="E101" s="79"/>
      <c r="J101" s="27"/>
      <c r="K101" s="97"/>
      <c r="L101" s="97"/>
      <c r="M101" s="27"/>
      <c r="N101" s="217"/>
      <c r="O101" s="217"/>
      <c r="P101" s="217"/>
      <c r="Q101" s="217"/>
      <c r="R101" s="217"/>
      <c r="S101" s="217"/>
    </row>
    <row r="102" spans="2:19" ht="5.25" customHeight="1" x14ac:dyDescent="0.2">
      <c r="E102" s="79"/>
      <c r="F102" s="76"/>
      <c r="I102" s="92"/>
      <c r="J102" s="92"/>
      <c r="K102" s="92"/>
      <c r="L102" s="92"/>
      <c r="N102" s="217"/>
      <c r="O102" s="217"/>
      <c r="P102" s="217"/>
      <c r="Q102" s="217"/>
      <c r="R102" s="217"/>
      <c r="S102" s="217"/>
    </row>
    <row r="103" spans="2:19" ht="2.25" customHeight="1" thickBot="1" x14ac:dyDescent="0.25">
      <c r="C103" s="66"/>
      <c r="D103" s="66"/>
      <c r="E103" s="66"/>
      <c r="F103" s="66"/>
      <c r="H103" s="66"/>
      <c r="I103" s="66"/>
      <c r="J103" s="66"/>
      <c r="K103" s="66"/>
      <c r="L103" s="66"/>
      <c r="M103" s="66"/>
      <c r="N103" s="218"/>
      <c r="O103" s="218"/>
      <c r="P103" s="218"/>
      <c r="Q103" s="218"/>
      <c r="R103" s="218"/>
      <c r="S103" s="218"/>
    </row>
    <row r="106" spans="2:19" x14ac:dyDescent="0.2">
      <c r="B106" s="145">
        <v>5</v>
      </c>
      <c r="C106" s="121" t="s">
        <v>37</v>
      </c>
      <c r="D106" s="99"/>
      <c r="E106" s="99"/>
      <c r="F106" s="99"/>
      <c r="G106" s="99"/>
      <c r="H106" s="99"/>
      <c r="I106" s="122"/>
      <c r="J106" s="122"/>
      <c r="K106" s="122"/>
    </row>
    <row r="107" spans="2:19" x14ac:dyDescent="0.2">
      <c r="C107" s="123" t="str">
        <f>"# Estudio "&amp;U42</f>
        <v># Estudio Transversal</v>
      </c>
    </row>
    <row r="108" spans="2:19" x14ac:dyDescent="0.2">
      <c r="C108" s="1304" t="s">
        <v>38</v>
      </c>
      <c r="D108" s="1304"/>
      <c r="E108" s="1304"/>
      <c r="F108" s="1304"/>
      <c r="G108" s="1304"/>
      <c r="I108" s="27"/>
      <c r="J108" s="27"/>
      <c r="K108" s="27"/>
    </row>
    <row r="109" spans="2:19" ht="13.5" thickBot="1" x14ac:dyDescent="0.25">
      <c r="B109" s="1295"/>
      <c r="E109" s="1296" t="str">
        <f>E22</f>
        <v>Droga</v>
      </c>
      <c r="F109" s="1296"/>
      <c r="I109" s="27"/>
      <c r="J109" s="27"/>
      <c r="K109" s="27"/>
    </row>
    <row r="110" spans="2:19" ht="13.5" thickBot="1" x14ac:dyDescent="0.25">
      <c r="B110" s="1295"/>
      <c r="C110" s="66"/>
      <c r="D110" s="66"/>
      <c r="E110" s="124" t="str">
        <f>E23</f>
        <v>Fenilepinefrina</v>
      </c>
      <c r="F110" s="124" t="str">
        <f>F23</f>
        <v>Norepinefrina</v>
      </c>
      <c r="G110" s="125" t="s">
        <v>39</v>
      </c>
      <c r="I110" s="27"/>
      <c r="J110" s="27"/>
      <c r="K110" s="27"/>
    </row>
    <row r="111" spans="2:19" x14ac:dyDescent="0.2">
      <c r="B111" s="1295"/>
      <c r="C111" s="1380" t="str">
        <f>C24&amp;" "</f>
        <v xml:space="preserve">Bradicardia   </v>
      </c>
      <c r="D111" s="123" t="str">
        <f>D24</f>
        <v>Si</v>
      </c>
      <c r="E111" s="102">
        <f>E24</f>
        <v>75</v>
      </c>
      <c r="F111" s="102">
        <f>F24</f>
        <v>25</v>
      </c>
      <c r="G111" s="25">
        <f>G24</f>
        <v>100</v>
      </c>
    </row>
    <row r="112" spans="2:19" ht="13.5" thickBot="1" x14ac:dyDescent="0.25">
      <c r="B112" s="1295"/>
      <c r="C112" s="1381"/>
      <c r="D112" s="126" t="str">
        <f>D25</f>
        <v>No</v>
      </c>
      <c r="E112" s="124">
        <f>E25</f>
        <v>30</v>
      </c>
      <c r="F112" s="124">
        <f>F25</f>
        <v>90</v>
      </c>
      <c r="G112" s="66">
        <f>G25</f>
        <v>120</v>
      </c>
    </row>
    <row r="113" spans="2:45" x14ac:dyDescent="0.2">
      <c r="B113" s="1295"/>
      <c r="D113" s="25" t="s">
        <v>39</v>
      </c>
      <c r="E113" s="102">
        <f>E26</f>
        <v>105</v>
      </c>
      <c r="F113" s="102">
        <f>F26</f>
        <v>115</v>
      </c>
      <c r="G113" s="25">
        <f>G26</f>
        <v>220</v>
      </c>
    </row>
    <row r="114" spans="2:45" x14ac:dyDescent="0.2">
      <c r="B114" s="1295"/>
    </row>
    <row r="115" spans="2:45" x14ac:dyDescent="0.2">
      <c r="B115" s="1295"/>
      <c r="C115" s="27" t="s">
        <v>40</v>
      </c>
      <c r="D115" s="85" t="s">
        <v>41</v>
      </c>
      <c r="E115" s="85" t="s">
        <v>7</v>
      </c>
      <c r="F115" s="27"/>
      <c r="G115" s="85" t="s">
        <v>42</v>
      </c>
      <c r="AQ115" s="360"/>
      <c r="AR115" s="360"/>
    </row>
    <row r="116" spans="2:45" ht="15.75" customHeight="1" x14ac:dyDescent="0.2">
      <c r="B116" s="1295"/>
      <c r="C116" s="105" t="s">
        <v>43</v>
      </c>
      <c r="D116" s="129">
        <f>IF(V41=1,C39,IF(V41=2,C40,C41))</f>
        <v>54.64927574189096</v>
      </c>
      <c r="E116" s="94">
        <f>IF(V41=1,F39,IF(V41=2,F40,F41))</f>
        <v>1.4407740751515328E-13</v>
      </c>
      <c r="F116" s="105"/>
      <c r="G116" s="130">
        <f>E35</f>
        <v>47.727272727272727</v>
      </c>
      <c r="AQ116" s="360"/>
      <c r="AR116" s="360"/>
    </row>
    <row r="117" spans="2:45" s="190" customFormat="1" ht="16.5" customHeight="1" x14ac:dyDescent="0.2">
      <c r="B117" s="1295"/>
      <c r="C117" s="192" t="s">
        <v>44</v>
      </c>
      <c r="D117" s="191">
        <f>C43</f>
        <v>54.658385093167702</v>
      </c>
      <c r="E117" s="191">
        <f>F43</f>
        <v>1.4341112392065926E-13</v>
      </c>
      <c r="F117" s="192"/>
      <c r="G117" s="192"/>
      <c r="U117" s="249"/>
      <c r="V117" s="249"/>
      <c r="AS117" s="359"/>
    </row>
    <row r="118" spans="2:45" s="190" customFormat="1" ht="16.5" customHeight="1" x14ac:dyDescent="0.2">
      <c r="B118" s="1295"/>
      <c r="C118" s="192" t="s">
        <v>151</v>
      </c>
      <c r="D118" s="191"/>
      <c r="E118" s="191" t="str">
        <f>Fisher!C25</f>
        <v>-</v>
      </c>
      <c r="F118" s="342" t="str">
        <f>Fisher!E25</f>
        <v>-</v>
      </c>
      <c r="G118" s="192"/>
      <c r="U118" s="249"/>
      <c r="V118" s="249"/>
      <c r="AS118" s="359"/>
    </row>
    <row r="119" spans="2:45" s="190" customFormat="1" ht="16.5" customHeight="1" x14ac:dyDescent="0.2">
      <c r="B119" s="1295"/>
      <c r="C119" s="192"/>
      <c r="D119" s="191"/>
      <c r="E119" s="191"/>
      <c r="F119" s="342"/>
      <c r="G119" s="192"/>
      <c r="U119" s="249"/>
      <c r="V119" s="249"/>
      <c r="AS119" s="359"/>
    </row>
    <row r="120" spans="2:45" ht="15" customHeight="1" x14ac:dyDescent="0.2">
      <c r="B120" s="1295"/>
      <c r="C120" s="99" t="s">
        <v>45</v>
      </c>
      <c r="D120" s="99"/>
      <c r="E120" s="131" t="s">
        <v>46</v>
      </c>
      <c r="F120" s="1297" t="str">
        <f>""&amp; E18*100&amp;"%-IC"</f>
        <v>95%-IC</v>
      </c>
      <c r="G120" s="1297"/>
    </row>
    <row r="121" spans="2:45" x14ac:dyDescent="0.2">
      <c r="B121" s="1295"/>
      <c r="C121" s="25" t="str">
        <f>C49</f>
        <v>Diferencia de Berkson</v>
      </c>
      <c r="E121" s="132">
        <f>IF($V$41&lt;3,E50,"-")</f>
        <v>0.49689440993788825</v>
      </c>
      <c r="F121" s="1298" t="str">
        <f>IF($V$41&lt;3,"("&amp;ROUND(G50,3)&amp;"; "&amp; ROUND(H50,3)&amp;")","-")</f>
        <v>(0,373; 0,621)</v>
      </c>
      <c r="G121" s="1298"/>
    </row>
    <row r="122" spans="2:45" x14ac:dyDescent="0.2">
      <c r="B122" s="1295"/>
      <c r="C122" s="25" t="str">
        <f>C54</f>
        <v>Riesgo relativo</v>
      </c>
      <c r="D122" s="133" t="s">
        <v>198</v>
      </c>
      <c r="E122" s="132">
        <f>IF(V41&lt;3,E55,E124)</f>
        <v>3.285714285714286</v>
      </c>
      <c r="F122" s="1298" t="str">
        <f>IF(V41&lt;3,"("&amp;ROUND(G55,3)&amp;"; "&amp; ROUND(H55,3)&amp;")",F124)</f>
        <v>(2,284; 4,726)</v>
      </c>
      <c r="G122" s="1298"/>
      <c r="H122" s="25" t="str">
        <f>IF($V$41=3,$V$50,"")</f>
        <v/>
      </c>
    </row>
    <row r="123" spans="2:45" x14ac:dyDescent="0.2">
      <c r="B123" s="1295"/>
      <c r="D123" s="133" t="s">
        <v>194</v>
      </c>
      <c r="E123" s="132">
        <f>IF(V41&lt;3,E63,"-")</f>
        <v>3.1996749042971988</v>
      </c>
      <c r="F123" s="1298" t="str">
        <f>IF(V41&lt;3,"("&amp;ROUND(G63,3)&amp;"; "&amp; ROUND(H63,3)&amp;")","-")</f>
        <v>(2,322; 4,91)</v>
      </c>
      <c r="G123" s="1298"/>
    </row>
    <row r="124" spans="2:45" x14ac:dyDescent="0.2">
      <c r="B124" s="1295"/>
      <c r="C124" s="25" t="s">
        <v>50</v>
      </c>
      <c r="E124" s="132">
        <f>E68</f>
        <v>9</v>
      </c>
      <c r="F124" s="1379" t="str">
        <f>"("&amp;ROUND(G69,3)&amp;"; "&amp;ROUND(H69,3)&amp;")"</f>
        <v>(4,782; 16,14)</v>
      </c>
      <c r="G124" s="1300"/>
    </row>
    <row r="125" spans="2:45" x14ac:dyDescent="0.2">
      <c r="B125" s="1295"/>
      <c r="C125" s="99" t="s">
        <v>52</v>
      </c>
      <c r="D125" s="135" t="str">
        <f>IF(V42=3,"*","")</f>
        <v/>
      </c>
      <c r="E125" s="136">
        <f>IF(V41=1,E82,IF(V41=3,D97,"-"))</f>
        <v>0.52173913043478259</v>
      </c>
      <c r="F125" s="1379" t="str">
        <f>IF(V41=1,"("&amp;ROUND(G82,3)&amp;"; "&amp;ROUND(H82,3)&amp;")", IF(V41=3,"("&amp;ROUND(G84,3)&amp;"; "&amp;ROUND(H84,3)&amp;")","-"))</f>
        <v>(0,364; 0,64)</v>
      </c>
      <c r="G125" s="1300"/>
      <c r="H125" s="25" t="str">
        <f>IF($V$41=3,$V$50,"")</f>
        <v/>
      </c>
      <c r="AQ125" s="360"/>
      <c r="AR125" s="360"/>
    </row>
    <row r="126" spans="2:45" x14ac:dyDescent="0.2">
      <c r="B126" s="1295"/>
      <c r="C126" s="137" t="str">
        <f>IF(I17=0,"*  P(E) alude a la prevalencia de la respuesta","")</f>
        <v/>
      </c>
      <c r="D126" s="27"/>
      <c r="E126" s="27"/>
      <c r="F126" s="27"/>
      <c r="G126" s="97"/>
      <c r="H126" s="27"/>
      <c r="I126" s="27"/>
      <c r="J126" s="27"/>
      <c r="K126" s="27"/>
      <c r="Q126" s="27"/>
      <c r="R126" s="27"/>
    </row>
    <row r="127" spans="2:45" x14ac:dyDescent="0.2">
      <c r="C127" s="1303" t="str">
        <f>"** En SPSS: "&amp;O70</f>
        <v>** En SPSS: OR (IC 95%) =9 (4,876; 16,611)</v>
      </c>
      <c r="D127" s="1303"/>
      <c r="E127" s="1303"/>
      <c r="F127" s="1303"/>
      <c r="G127" s="1303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45" ht="13.5" thickBot="1" x14ac:dyDescent="0.25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</row>
  </sheetData>
  <mergeCells count="25">
    <mergeCell ref="C127:G127"/>
    <mergeCell ref="C111:C112"/>
    <mergeCell ref="F123:G123"/>
    <mergeCell ref="P96:Q96"/>
    <mergeCell ref="N96:O96"/>
    <mergeCell ref="F125:G125"/>
    <mergeCell ref="C108:G108"/>
    <mergeCell ref="E109:F109"/>
    <mergeCell ref="F121:G121"/>
    <mergeCell ref="C24:C25"/>
    <mergeCell ref="E28:F28"/>
    <mergeCell ref="C22:D23"/>
    <mergeCell ref="B109:B126"/>
    <mergeCell ref="F120:G120"/>
    <mergeCell ref="F122:G122"/>
    <mergeCell ref="F124:G124"/>
    <mergeCell ref="R1:S1"/>
    <mergeCell ref="R2:S2"/>
    <mergeCell ref="R4:T4"/>
    <mergeCell ref="S16:T20"/>
    <mergeCell ref="F47:L47"/>
    <mergeCell ref="E22:F22"/>
    <mergeCell ref="D8:F8"/>
    <mergeCell ref="D7:F7"/>
    <mergeCell ref="D10:F10"/>
  </mergeCells>
  <phoneticPr fontId="4" type="noConversion"/>
  <conditionalFormatting sqref="C39:G39 C44:F44 Q83:U88 S81:S82 J81:O81 K82:O82 C85:E88 N83:N88 C84">
    <cfRule type="expression" dxfId="8" priority="2" stopIfTrue="1">
      <formula>$V$41&lt;&gt;1</formula>
    </cfRule>
  </conditionalFormatting>
  <conditionalFormatting sqref="C40:G40">
    <cfRule type="expression" dxfId="7" priority="3" stopIfTrue="1">
      <formula>$V$41&lt;&gt;2</formula>
    </cfRule>
  </conditionalFormatting>
  <conditionalFormatting sqref="C41:G41 H103:S103 J99:S99 C102:F103 C99:E101 I102:S102 K100:S101 I91:S95 R96:S96 I96:N96 P96 C91:F98 I97:S98">
    <cfRule type="expression" dxfId="6" priority="4" stopIfTrue="1">
      <formula>$V$41&lt;&gt;3</formula>
    </cfRule>
  </conditionalFormatting>
  <conditionalFormatting sqref="F35">
    <cfRule type="expression" dxfId="5" priority="5" stopIfTrue="1">
      <formula>$E$35&lt;5</formula>
    </cfRule>
  </conditionalFormatting>
  <conditionalFormatting sqref="F17">
    <cfRule type="expression" dxfId="4" priority="6" stopIfTrue="1">
      <formula>$V$41=0</formula>
    </cfRule>
  </conditionalFormatting>
  <conditionalFormatting sqref="B91:B103">
    <cfRule type="expression" dxfId="3" priority="7" stopIfTrue="1">
      <formula>$V$41&lt;&gt;3</formula>
    </cfRule>
  </conditionalFormatting>
  <conditionalFormatting sqref="J65:T65 C65:F66 M59:T64 N57:T58 M56:T56 N55:T55 M54:T54 J66:M66 S66:T66">
    <cfRule type="expression" dxfId="2" priority="8" stopIfTrue="1">
      <formula>$V$41=3</formula>
    </cfRule>
  </conditionalFormatting>
  <conditionalFormatting sqref="G35">
    <cfRule type="expression" dxfId="1" priority="1" stopIfTrue="1">
      <formula>$E$35&lt;5</formula>
    </cfRule>
  </conditionalFormatting>
  <printOptions horizontalCentered="1"/>
  <pageMargins left="0.75" right="0.75" top="0.42" bottom="1" header="0" footer="0"/>
  <pageSetup paperSize="9" scale="58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028" r:id="rId4">
          <objectPr defaultSize="0" r:id="rId5">
            <anchor moveWithCells="1">
              <from>
                <xdr:col>2</xdr:col>
                <xdr:colOff>0</xdr:colOff>
                <xdr:row>66</xdr:row>
                <xdr:rowOff>152400</xdr:rowOff>
              </from>
              <to>
                <xdr:col>2</xdr:col>
                <xdr:colOff>142875</xdr:colOff>
                <xdr:row>68</xdr:row>
                <xdr:rowOff>85725</xdr:rowOff>
              </to>
            </anchor>
          </objectPr>
        </oleObject>
      </mc:Choice>
      <mc:Fallback>
        <oleObject progId="Equation.DSMT4" shapeId="1028" r:id="rId4"/>
      </mc:Fallback>
    </mc:AlternateContent>
    <mc:AlternateContent xmlns:mc="http://schemas.openxmlformats.org/markup-compatibility/2006">
      <mc:Choice Requires="x14">
        <oleObject progId="Equation.DSMT4" shapeId="1031" r:id="rId6">
          <objectPr defaultSize="0" r:id="rId5">
            <anchor moveWithCells="1">
              <from>
                <xdr:col>2</xdr:col>
                <xdr:colOff>0</xdr:colOff>
                <xdr:row>91</xdr:row>
                <xdr:rowOff>114300</xdr:rowOff>
              </from>
              <to>
                <xdr:col>2</xdr:col>
                <xdr:colOff>142875</xdr:colOff>
                <xdr:row>93</xdr:row>
                <xdr:rowOff>47625</xdr:rowOff>
              </to>
            </anchor>
          </objectPr>
        </oleObject>
      </mc:Choice>
      <mc:Fallback>
        <oleObject progId="Equation.DSMT4" shapeId="1031" r:id="rId6"/>
      </mc:Fallback>
    </mc:AlternateContent>
    <mc:AlternateContent xmlns:mc="http://schemas.openxmlformats.org/markup-compatibility/2006">
      <mc:Choice Requires="x14">
        <oleObject progId="Equation.DSMT4" shapeId="1032" r:id="rId7">
          <objectPr defaultSize="0" r:id="rId5">
            <anchor moveWithCells="1">
              <from>
                <xdr:col>2</xdr:col>
                <xdr:colOff>0</xdr:colOff>
                <xdr:row>96</xdr:row>
                <xdr:rowOff>0</xdr:rowOff>
              </from>
              <to>
                <xdr:col>2</xdr:col>
                <xdr:colOff>142875</xdr:colOff>
                <xdr:row>97</xdr:row>
                <xdr:rowOff>95250</xdr:rowOff>
              </to>
            </anchor>
          </objectPr>
        </oleObject>
      </mc:Choice>
      <mc:Fallback>
        <oleObject progId="Equation.DSMT4" shapeId="1032" r:id="rId7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showGridLines="0" workbookViewId="0">
      <pane ySplit="4" topLeftCell="A26" activePane="bottomLeft" state="frozenSplit"/>
      <selection activeCell="R2" sqref="R2:S2"/>
      <selection pane="bottomLeft" activeCell="F57" sqref="F57"/>
    </sheetView>
  </sheetViews>
  <sheetFormatPr baseColWidth="10" defaultRowHeight="12.75" x14ac:dyDescent="0.2"/>
  <cols>
    <col min="1" max="1" width="2.5703125" style="540" customWidth="1"/>
    <col min="2" max="2" width="4" style="547" customWidth="1"/>
    <col min="3" max="3" width="7" style="539" customWidth="1"/>
    <col min="4" max="4" width="13.42578125" style="540" customWidth="1"/>
    <col min="5" max="5" width="12.42578125" style="540" customWidth="1"/>
    <col min="6" max="6" width="12.28515625" style="540" customWidth="1"/>
    <col min="7" max="7" width="14" style="540" customWidth="1"/>
    <col min="8" max="8" width="8.7109375" style="540" customWidth="1"/>
    <col min="9" max="9" width="13.85546875" style="540" customWidth="1"/>
    <col min="10" max="10" width="8.140625" style="540" customWidth="1"/>
    <col min="11" max="11" width="12.85546875" style="540" customWidth="1"/>
    <col min="12" max="14" width="8.7109375" style="540" customWidth="1"/>
    <col min="15" max="15" width="7.140625" style="540" customWidth="1"/>
    <col min="16" max="16384" width="11.42578125" style="540"/>
  </cols>
  <sheetData>
    <row r="1" spans="1:19" s="619" customFormat="1" ht="15.75" x14ac:dyDescent="0.25">
      <c r="C1" s="620"/>
      <c r="D1" s="621"/>
      <c r="E1" s="622"/>
      <c r="F1" s="622"/>
      <c r="G1" s="623"/>
      <c r="H1" s="623"/>
      <c r="I1" s="624" t="s">
        <v>64</v>
      </c>
      <c r="J1" s="625" t="s">
        <v>66</v>
      </c>
      <c r="K1" s="623"/>
      <c r="L1" s="626" t="s">
        <v>65</v>
      </c>
      <c r="M1" s="623"/>
      <c r="N1" s="623"/>
    </row>
    <row r="2" spans="1:19" s="622" customFormat="1" ht="15.75" x14ac:dyDescent="0.25">
      <c r="B2" s="619" t="s">
        <v>237</v>
      </c>
      <c r="C2" s="627"/>
      <c r="D2" s="620"/>
      <c r="E2" s="620"/>
      <c r="F2" s="620"/>
      <c r="G2" s="628"/>
      <c r="H2" s="625"/>
      <c r="I2" s="629"/>
      <c r="J2" s="630" t="s">
        <v>63</v>
      </c>
      <c r="K2" s="629"/>
      <c r="L2" s="626" t="s">
        <v>65</v>
      </c>
      <c r="M2" s="625"/>
      <c r="N2" s="625"/>
    </row>
    <row r="3" spans="1:19" s="622" customFormat="1" ht="15.75" x14ac:dyDescent="0.25">
      <c r="A3" s="620"/>
      <c r="B3" s="620" t="s">
        <v>238</v>
      </c>
      <c r="C3" s="627"/>
      <c r="D3" s="620"/>
      <c r="E3" s="620"/>
      <c r="F3" s="620"/>
      <c r="G3" s="628"/>
      <c r="H3" s="625"/>
      <c r="I3" s="629"/>
      <c r="J3" s="625" t="s">
        <v>79</v>
      </c>
      <c r="K3" s="629"/>
      <c r="L3" s="626"/>
      <c r="M3" s="625"/>
      <c r="N3" s="625"/>
    </row>
    <row r="4" spans="1:19" s="622" customFormat="1" ht="15.75" x14ac:dyDescent="0.25">
      <c r="A4" s="620"/>
      <c r="B4" s="620" t="s">
        <v>239</v>
      </c>
      <c r="C4" s="620"/>
      <c r="D4" s="620"/>
      <c r="E4" s="620"/>
      <c r="F4" s="620"/>
      <c r="G4" s="628"/>
      <c r="H4" s="625"/>
      <c r="I4" s="629"/>
      <c r="J4" s="630"/>
      <c r="K4" s="629"/>
      <c r="L4" s="626"/>
      <c r="M4" s="625"/>
      <c r="N4" s="625"/>
    </row>
    <row r="5" spans="1:19" ht="11.25" customHeight="1" x14ac:dyDescent="0.2">
      <c r="A5" s="578"/>
      <c r="B5" s="538"/>
    </row>
    <row r="6" spans="1:19" ht="12.75" customHeight="1" x14ac:dyDescent="0.2">
      <c r="A6" s="578"/>
      <c r="B6" s="538">
        <v>1</v>
      </c>
      <c r="C6" s="631" t="s">
        <v>240</v>
      </c>
      <c r="G6" s="541"/>
      <c r="H6" s="541"/>
      <c r="I6" s="541"/>
      <c r="J6" s="541"/>
      <c r="K6" s="541"/>
      <c r="L6" s="541"/>
      <c r="M6" s="541"/>
      <c r="N6" s="541"/>
      <c r="O6" s="541"/>
    </row>
    <row r="7" spans="1:19" ht="12.75" customHeight="1" x14ac:dyDescent="0.2">
      <c r="A7" s="6"/>
      <c r="B7" s="543"/>
      <c r="C7" s="548" t="s">
        <v>241</v>
      </c>
      <c r="D7" s="544"/>
      <c r="E7" s="544"/>
      <c r="H7" s="545" t="s">
        <v>6</v>
      </c>
      <c r="I7" s="546" t="s">
        <v>242</v>
      </c>
      <c r="J7" s="541"/>
      <c r="K7" s="541"/>
      <c r="L7" s="541"/>
      <c r="M7" s="541"/>
      <c r="N7" s="541"/>
      <c r="O7" s="541"/>
      <c r="P7" s="560"/>
      <c r="Q7" s="561"/>
      <c r="R7" s="214"/>
    </row>
    <row r="8" spans="1:19" x14ac:dyDescent="0.2">
      <c r="D8" s="548" t="s">
        <v>243</v>
      </c>
      <c r="E8" s="632">
        <f>Prevalencia!E6</f>
        <v>220</v>
      </c>
      <c r="H8" s="541"/>
      <c r="I8" s="584" t="s">
        <v>243</v>
      </c>
      <c r="J8" s="584" t="s">
        <v>244</v>
      </c>
      <c r="K8" s="633" t="s">
        <v>245</v>
      </c>
      <c r="L8" s="584" t="s">
        <v>246</v>
      </c>
      <c r="M8" s="584" t="s">
        <v>247</v>
      </c>
      <c r="N8" s="584" t="s">
        <v>248</v>
      </c>
      <c r="O8" s="584" t="s">
        <v>68</v>
      </c>
      <c r="P8" s="560"/>
      <c r="Q8" s="634" t="s">
        <v>6</v>
      </c>
      <c r="R8" s="635">
        <f>F12/100</f>
        <v>0.95</v>
      </c>
    </row>
    <row r="9" spans="1:19" x14ac:dyDescent="0.2">
      <c r="D9" s="548" t="s">
        <v>244</v>
      </c>
      <c r="E9" s="632">
        <f>Prevalencia!E7</f>
        <v>100</v>
      </c>
      <c r="H9" s="636"/>
      <c r="I9" s="597">
        <f>n</f>
        <v>220</v>
      </c>
      <c r="J9" s="597">
        <f>x</f>
        <v>100</v>
      </c>
      <c r="K9" s="611">
        <f>p</f>
        <v>0.45454545454545453</v>
      </c>
      <c r="L9" s="637">
        <f>F27</f>
        <v>6.7680720165985503E-2</v>
      </c>
      <c r="M9" s="638">
        <f>F25</f>
        <v>0.38748545855406907</v>
      </c>
      <c r="N9" s="638">
        <f>F26</f>
        <v>0.52284689888604008</v>
      </c>
      <c r="O9" s="584" t="s">
        <v>249</v>
      </c>
      <c r="P9" s="214"/>
      <c r="Q9" s="214"/>
      <c r="R9" s="639">
        <f>IF(OR(E9&lt;5,E10&lt;5),0,IF(OR(E9&lt;29,E10&lt;20),1,2))</f>
        <v>2</v>
      </c>
    </row>
    <row r="10" spans="1:19" x14ac:dyDescent="0.2">
      <c r="D10" s="553" t="s">
        <v>250</v>
      </c>
      <c r="E10" s="548">
        <f>E8-E9</f>
        <v>120</v>
      </c>
      <c r="H10" s="541"/>
      <c r="I10" s="549"/>
      <c r="J10" s="550"/>
      <c r="K10" s="551"/>
      <c r="L10" s="551"/>
      <c r="M10" s="541"/>
      <c r="N10" s="541"/>
      <c r="O10" s="541"/>
      <c r="Q10" s="634" t="s">
        <v>6</v>
      </c>
      <c r="R10" s="214" t="s">
        <v>251</v>
      </c>
      <c r="S10" s="214"/>
    </row>
    <row r="11" spans="1:19" x14ac:dyDescent="0.2">
      <c r="F11" s="6"/>
      <c r="Q11" s="214"/>
      <c r="R11" s="214" t="s">
        <v>252</v>
      </c>
      <c r="S11" s="210">
        <f>BINOMDIST(x,n,F26,1)</f>
        <v>2.4999999999999974E-2</v>
      </c>
    </row>
    <row r="12" spans="1:19" x14ac:dyDescent="0.2">
      <c r="D12" s="548" t="s">
        <v>253</v>
      </c>
      <c r="E12" s="540">
        <f>Prevalencia!E10*100</f>
        <v>95</v>
      </c>
      <c r="F12" s="640">
        <f>Prevalencia!E10*100</f>
        <v>95</v>
      </c>
      <c r="G12" s="554" t="str">
        <f>IF(OR(F12&lt;1,F12&gt;100)," &lt; Introduzca un valor entre 1 y 100","")</f>
        <v/>
      </c>
      <c r="K12" s="214"/>
      <c r="Q12" s="214"/>
      <c r="R12" s="214" t="s">
        <v>254</v>
      </c>
      <c r="S12" s="210">
        <f>(1-BINOMDIST(x,n,F25,1))+BINOMDIST(x,n,F25,0)</f>
        <v>2.5000000000000223E-2</v>
      </c>
    </row>
    <row r="13" spans="1:19" x14ac:dyDescent="0.2">
      <c r="D13" s="555" t="s">
        <v>233</v>
      </c>
      <c r="E13" s="641">
        <f>NORMSINV(R8+(1-R8)/2)</f>
        <v>1.9599639845400536</v>
      </c>
      <c r="K13" s="214"/>
      <c r="P13" s="642"/>
      <c r="Q13" s="561"/>
      <c r="R13" s="214"/>
    </row>
    <row r="14" spans="1:19" x14ac:dyDescent="0.2">
      <c r="E14" s="643"/>
      <c r="K14" s="214"/>
      <c r="P14" s="642"/>
      <c r="Q14" s="561"/>
      <c r="R14" s="214"/>
    </row>
    <row r="15" spans="1:19" x14ac:dyDescent="0.2">
      <c r="D15" s="548"/>
      <c r="E15" s="643"/>
      <c r="K15" s="214"/>
      <c r="P15" s="642"/>
      <c r="Q15" s="561"/>
      <c r="R15" s="214"/>
    </row>
    <row r="16" spans="1:19" x14ac:dyDescent="0.2">
      <c r="C16" s="558"/>
      <c r="D16" s="644"/>
      <c r="F16" s="142"/>
      <c r="G16" s="557"/>
      <c r="H16" s="559"/>
      <c r="I16" s="560"/>
      <c r="J16" s="561"/>
      <c r="K16" s="214"/>
    </row>
    <row r="17" spans="1:21" x14ac:dyDescent="0.2">
      <c r="A17" s="6"/>
      <c r="B17" s="562">
        <v>2</v>
      </c>
      <c r="C17" s="533" t="s">
        <v>255</v>
      </c>
      <c r="G17" s="557"/>
      <c r="H17" s="559"/>
      <c r="I17" s="214"/>
      <c r="J17" s="561"/>
      <c r="K17" s="214"/>
    </row>
    <row r="18" spans="1:21" x14ac:dyDescent="0.2">
      <c r="D18" s="645" t="s">
        <v>245</v>
      </c>
      <c r="E18" s="646">
        <f>E9/E8</f>
        <v>0.45454545454545453</v>
      </c>
      <c r="F18" s="647">
        <f>E18</f>
        <v>0.45454545454545453</v>
      </c>
      <c r="G18" s="648"/>
      <c r="H18" s="649"/>
      <c r="I18" s="214"/>
      <c r="J18" s="214"/>
      <c r="K18" s="214"/>
    </row>
    <row r="19" spans="1:21" x14ac:dyDescent="0.2">
      <c r="D19" s="567" t="s">
        <v>374</v>
      </c>
      <c r="E19" s="568">
        <f>1-E18</f>
        <v>0.54545454545454541</v>
      </c>
      <c r="F19" s="569">
        <f>E19</f>
        <v>0.54545454545454541</v>
      </c>
      <c r="G19" s="570"/>
      <c r="H19" s="650"/>
      <c r="I19" s="214"/>
      <c r="J19" s="214"/>
      <c r="K19" s="214"/>
    </row>
    <row r="20" spans="1:21" x14ac:dyDescent="0.2">
      <c r="C20" s="558"/>
      <c r="D20" s="571"/>
      <c r="E20" s="572"/>
      <c r="G20" s="566"/>
      <c r="H20" s="559"/>
      <c r="I20" s="560"/>
      <c r="J20" s="561"/>
      <c r="K20" s="214"/>
    </row>
    <row r="21" spans="1:21" x14ac:dyDescent="0.2">
      <c r="B21" s="538">
        <v>3</v>
      </c>
      <c r="C21" s="558" t="s">
        <v>257</v>
      </c>
      <c r="D21" s="571"/>
      <c r="E21" s="572"/>
      <c r="G21" s="566"/>
      <c r="H21" s="559"/>
    </row>
    <row r="22" spans="1:21" ht="5.25" customHeight="1" x14ac:dyDescent="0.2">
      <c r="B22" s="538"/>
      <c r="C22" s="558"/>
      <c r="D22" s="571"/>
      <c r="E22" s="572"/>
      <c r="G22" s="566"/>
      <c r="H22" s="559"/>
    </row>
    <row r="23" spans="1:21" x14ac:dyDescent="0.2">
      <c r="B23" s="578"/>
      <c r="C23" s="538" t="s">
        <v>235</v>
      </c>
      <c r="D23" s="533" t="s">
        <v>258</v>
      </c>
      <c r="E23" s="572"/>
      <c r="G23" s="557"/>
      <c r="S23" s="541"/>
    </row>
    <row r="24" spans="1:21" x14ac:dyDescent="0.2">
      <c r="A24" s="578"/>
      <c r="B24" s="538"/>
      <c r="C24" s="558"/>
      <c r="D24" s="541"/>
      <c r="J24" s="597"/>
      <c r="K24" s="597" t="s">
        <v>68</v>
      </c>
      <c r="L24" s="584" t="s">
        <v>259</v>
      </c>
      <c r="M24" s="584" t="s">
        <v>260</v>
      </c>
      <c r="N24" s="584" t="s">
        <v>246</v>
      </c>
      <c r="O24" s="597" t="s">
        <v>207</v>
      </c>
      <c r="P24" s="584" t="str">
        <f>L24</f>
        <v>IC(-)</v>
      </c>
      <c r="Q24" s="584" t="str">
        <f>M24</f>
        <v>IC(+)</v>
      </c>
      <c r="R24" s="584" t="str">
        <f>N24</f>
        <v>d</v>
      </c>
      <c r="S24" s="541" t="s">
        <v>207</v>
      </c>
    </row>
    <row r="25" spans="1:21" x14ac:dyDescent="0.2">
      <c r="A25" s="6"/>
      <c r="B25" s="562"/>
      <c r="C25" s="533"/>
      <c r="D25" s="651" t="str">
        <f>"Confianza: "&amp;$R$8*100&amp;"%"</f>
        <v>Confianza: 95%</v>
      </c>
      <c r="E25" s="652" t="s">
        <v>261</v>
      </c>
      <c r="F25" s="653">
        <f>IF(ISERROR(J80),"-",J80)</f>
        <v>0.38748545855406907</v>
      </c>
      <c r="G25" s="654">
        <f>F25</f>
        <v>0.38748545855406907</v>
      </c>
      <c r="H25" s="655"/>
      <c r="J25" s="541"/>
      <c r="K25" s="541" t="s">
        <v>262</v>
      </c>
      <c r="L25" s="551">
        <f>F25</f>
        <v>0.38748545855406907</v>
      </c>
      <c r="M25" s="551">
        <f>F26</f>
        <v>0.52284689888604008</v>
      </c>
      <c r="N25" s="551">
        <f>F27</f>
        <v>6.7680720165985503E-2</v>
      </c>
      <c r="O25" s="541" t="s">
        <v>210</v>
      </c>
      <c r="P25" s="656">
        <f>G25</f>
        <v>0.38748545855406907</v>
      </c>
      <c r="Q25" s="656">
        <f>G26</f>
        <v>0.52284689888604008</v>
      </c>
      <c r="R25" s="656">
        <f>G27</f>
        <v>6.7680720165985503E-2</v>
      </c>
      <c r="S25" s="657" t="s">
        <v>210</v>
      </c>
      <c r="U25" s="540" t="s">
        <v>210</v>
      </c>
    </row>
    <row r="26" spans="1:21" x14ac:dyDescent="0.2">
      <c r="A26" s="578"/>
      <c r="B26" s="538"/>
      <c r="C26" s="558"/>
      <c r="D26" s="541"/>
      <c r="E26" s="658" t="s">
        <v>263</v>
      </c>
      <c r="F26" s="659">
        <f>IF(ISERROR(K80),"-",K80)</f>
        <v>0.52284689888604008</v>
      </c>
      <c r="G26" s="660">
        <f>F26</f>
        <v>0.52284689888604008</v>
      </c>
      <c r="H26" s="597"/>
      <c r="J26" s="541"/>
      <c r="K26" s="541" t="s">
        <v>264</v>
      </c>
      <c r="L26" s="551">
        <f>H84</f>
        <v>0.38788476137975447</v>
      </c>
      <c r="M26" s="551">
        <f>I84</f>
        <v>0.52281970754254692</v>
      </c>
      <c r="N26" s="551">
        <f>E87</f>
        <v>6.7467473081396223E-2</v>
      </c>
      <c r="O26" s="541" t="str">
        <f>IF(S26,$U$25,$U$26)</f>
        <v>Si</v>
      </c>
      <c r="P26" s="656">
        <f t="shared" ref="P26:R29" si="0">L26</f>
        <v>0.38788476137975447</v>
      </c>
      <c r="Q26" s="656">
        <f t="shared" si="0"/>
        <v>0.52281970754254692</v>
      </c>
      <c r="R26" s="656">
        <f t="shared" si="0"/>
        <v>6.7467473081396223E-2</v>
      </c>
      <c r="S26" s="661">
        <f>IF(AND(x&gt;5,E10&gt;5),1,0)</f>
        <v>1</v>
      </c>
      <c r="U26" s="540" t="s">
        <v>209</v>
      </c>
    </row>
    <row r="27" spans="1:21" x14ac:dyDescent="0.2">
      <c r="B27" s="538"/>
      <c r="C27" s="533"/>
      <c r="D27" s="597"/>
      <c r="E27" s="555" t="s">
        <v>265</v>
      </c>
      <c r="F27" s="662">
        <f>IF(ISNUMBER(F26),(F26-F25)/2,"-")</f>
        <v>6.7680720165985503E-2</v>
      </c>
      <c r="G27" s="660">
        <f>F27</f>
        <v>6.7680720165985503E-2</v>
      </c>
      <c r="H27" s="663"/>
      <c r="J27" s="541"/>
      <c r="K27" s="541" t="s">
        <v>266</v>
      </c>
      <c r="L27" s="551">
        <f>H90</f>
        <v>0.38647593933013752</v>
      </c>
      <c r="M27" s="551">
        <f>I90</f>
        <v>0.5226149697607716</v>
      </c>
      <c r="N27" s="551">
        <f>E93</f>
        <v>6.8069515215317039E-2</v>
      </c>
      <c r="O27" s="541" t="str">
        <f>IF(S27,$U$25,$U$26)</f>
        <v>Si</v>
      </c>
      <c r="P27" s="656">
        <f t="shared" si="0"/>
        <v>0.38647593933013752</v>
      </c>
      <c r="Q27" s="656">
        <f t="shared" si="0"/>
        <v>0.5226149697607716</v>
      </c>
      <c r="R27" s="656">
        <f t="shared" si="0"/>
        <v>6.8069515215317039E-2</v>
      </c>
      <c r="S27" s="661">
        <f>IF(AND(x&gt;20,E10&gt;20),1,0)</f>
        <v>1</v>
      </c>
    </row>
    <row r="28" spans="1:21" x14ac:dyDescent="0.2">
      <c r="B28" s="538"/>
      <c r="C28" s="533"/>
      <c r="H28" s="664"/>
      <c r="I28" s="665"/>
      <c r="J28" s="666"/>
      <c r="K28" s="597" t="s">
        <v>267</v>
      </c>
      <c r="L28" s="638">
        <f>J97</f>
        <v>0.39014085652912184</v>
      </c>
      <c r="M28" s="638">
        <f>K97</f>
        <v>0.52057342918516392</v>
      </c>
      <c r="N28" s="638">
        <f>I97</f>
        <v>6.5216286328021025E-2</v>
      </c>
      <c r="O28" s="597" t="s">
        <v>210</v>
      </c>
      <c r="P28" s="667">
        <f t="shared" si="0"/>
        <v>0.39014085652912184</v>
      </c>
      <c r="Q28" s="667">
        <f t="shared" si="0"/>
        <v>0.52057342918516392</v>
      </c>
      <c r="R28" s="667">
        <f t="shared" si="0"/>
        <v>6.5216286328021025E-2</v>
      </c>
      <c r="S28" s="657" t="s">
        <v>210</v>
      </c>
    </row>
    <row r="29" spans="1:21" ht="13.5" thickBot="1" x14ac:dyDescent="0.25">
      <c r="B29" s="578"/>
      <c r="C29" s="538"/>
      <c r="D29" s="533" t="s">
        <v>268</v>
      </c>
      <c r="E29" s="534"/>
      <c r="F29" s="534"/>
      <c r="J29" s="668"/>
      <c r="K29" s="542" t="s">
        <v>269</v>
      </c>
      <c r="L29" s="669">
        <f>p-t*SQRT(p*q/n)</f>
        <v>0.38874866660286478</v>
      </c>
      <c r="M29" s="669">
        <f>p+t*SQRT(p*q/n)</f>
        <v>0.52034224248804428</v>
      </c>
      <c r="N29" s="669">
        <f>K30*t</f>
        <v>6.5796787942589738E-2</v>
      </c>
      <c r="O29" s="542"/>
      <c r="P29" s="670">
        <f>L29</f>
        <v>0.38874866660286478</v>
      </c>
      <c r="Q29" s="670">
        <f t="shared" si="0"/>
        <v>0.52034224248804428</v>
      </c>
      <c r="R29" s="670">
        <f t="shared" si="0"/>
        <v>6.5796787942589738E-2</v>
      </c>
      <c r="S29" s="541"/>
    </row>
    <row r="30" spans="1:21" x14ac:dyDescent="0.2">
      <c r="B30" s="538"/>
      <c r="C30" s="533"/>
      <c r="D30" s="671" t="s">
        <v>270</v>
      </c>
      <c r="E30" s="534"/>
      <c r="F30" s="534" t="s">
        <v>271</v>
      </c>
      <c r="I30" s="672"/>
      <c r="J30" s="673" t="s">
        <v>272</v>
      </c>
      <c r="K30" s="674">
        <f>SQRT(p*q/n)</f>
        <v>3.3570406630727107E-2</v>
      </c>
    </row>
    <row r="31" spans="1:21" x14ac:dyDescent="0.2">
      <c r="B31" s="538"/>
      <c r="C31" s="533"/>
      <c r="D31" s="651" t="str">
        <f>"IC ("&amp;$R$8*100&amp;"%):"</f>
        <v>IC (95%):</v>
      </c>
      <c r="E31" s="675" t="s">
        <v>273</v>
      </c>
      <c r="F31" s="675" t="str">
        <f>IF(R9=0,"&lt; Aproximación a la normal no válida",IF(R9=1,"&lt; IC largo","&lt; IC corto"))</f>
        <v>&lt; IC corto</v>
      </c>
      <c r="G31" s="655"/>
      <c r="H31" s="676"/>
    </row>
    <row r="32" spans="1:21" x14ac:dyDescent="0.2">
      <c r="B32" s="538"/>
      <c r="C32" s="533"/>
      <c r="D32" s="541"/>
      <c r="E32" s="677" t="str">
        <f>E25</f>
        <v>Lim. Inf.</v>
      </c>
      <c r="F32" s="678">
        <f>IF(R9=0,"",IF(R9=1,H84,H90))</f>
        <v>0.38647593933013752</v>
      </c>
      <c r="G32" s="654">
        <f>F32</f>
        <v>0.38647593933013752</v>
      </c>
      <c r="H32" s="679"/>
      <c r="I32" s="596"/>
      <c r="J32" s="535"/>
      <c r="K32" s="142"/>
    </row>
    <row r="33" spans="1:12" x14ac:dyDescent="0.2">
      <c r="A33" s="6"/>
      <c r="B33" s="562"/>
      <c r="C33" s="533"/>
      <c r="D33" s="541"/>
      <c r="E33" s="597" t="str">
        <f>E26</f>
        <v>Lim. Sup.</v>
      </c>
      <c r="F33" s="680">
        <f>IF(R9=0,"",IF(R9=1,I84,I90))</f>
        <v>0.5226149697607716</v>
      </c>
      <c r="G33" s="660">
        <f>F33</f>
        <v>0.5226149697607716</v>
      </c>
      <c r="H33" s="597"/>
      <c r="K33" s="142"/>
    </row>
    <row r="34" spans="1:12" x14ac:dyDescent="0.2">
      <c r="B34" s="538"/>
      <c r="C34" s="533"/>
      <c r="D34" s="597"/>
      <c r="E34" s="555" t="s">
        <v>265</v>
      </c>
      <c r="F34" s="662">
        <f>(F33-F32)/2</f>
        <v>6.8069515215317039E-2</v>
      </c>
      <c r="G34" s="660">
        <f>F34</f>
        <v>6.8069515215317039E-2</v>
      </c>
      <c r="H34" s="681"/>
      <c r="K34" s="142"/>
    </row>
    <row r="35" spans="1:12" x14ac:dyDescent="0.2">
      <c r="B35" s="538"/>
      <c r="C35" s="533"/>
      <c r="D35" s="541"/>
      <c r="E35" s="548"/>
      <c r="F35" s="579"/>
      <c r="G35" s="592"/>
      <c r="H35" s="593"/>
      <c r="K35" s="142"/>
    </row>
    <row r="36" spans="1:12" x14ac:dyDescent="0.2">
      <c r="B36" s="538"/>
      <c r="C36" s="533"/>
      <c r="D36" s="541"/>
      <c r="E36" s="548"/>
      <c r="F36" s="579"/>
      <c r="G36" s="592"/>
      <c r="H36" s="593"/>
      <c r="K36" s="142"/>
    </row>
    <row r="37" spans="1:12" x14ac:dyDescent="0.2">
      <c r="B37" s="538"/>
      <c r="C37" s="533"/>
      <c r="D37" s="541"/>
      <c r="E37" s="548"/>
      <c r="F37" s="579"/>
      <c r="G37" s="592"/>
      <c r="H37" s="593"/>
      <c r="K37" s="142"/>
    </row>
    <row r="38" spans="1:12" x14ac:dyDescent="0.2">
      <c r="B38" s="538"/>
      <c r="C38" s="533"/>
      <c r="D38" s="541"/>
      <c r="E38" s="548"/>
      <c r="F38" s="579"/>
      <c r="G38" s="592"/>
      <c r="H38" s="593"/>
      <c r="K38" s="142"/>
    </row>
    <row r="39" spans="1:12" ht="13.5" customHeight="1" x14ac:dyDescent="0.2">
      <c r="B39" s="538"/>
      <c r="C39" s="533"/>
      <c r="K39" s="142"/>
    </row>
    <row r="40" spans="1:12" x14ac:dyDescent="0.2">
      <c r="B40" s="538"/>
      <c r="C40" s="594" t="s">
        <v>274</v>
      </c>
      <c r="D40" s="578" t="str">
        <f>"Tamaño de muestra (sin cpc. "&amp;" Nivel de confianza = "&amp;F12&amp;"%)"</f>
        <v>Tamaño de muestra (sin cpc.  Nivel de confianza = 95%)</v>
      </c>
      <c r="E40" s="595"/>
      <c r="F40" s="142"/>
      <c r="H40" s="534"/>
      <c r="I40" s="534"/>
    </row>
    <row r="41" spans="1:12" x14ac:dyDescent="0.2">
      <c r="B41" s="538"/>
      <c r="C41" s="558"/>
      <c r="D41" s="596"/>
      <c r="E41" s="682">
        <f>Prevalencia!E29</f>
        <v>0.05</v>
      </c>
      <c r="F41" s="534"/>
      <c r="H41" s="534"/>
      <c r="I41" s="534"/>
    </row>
    <row r="42" spans="1:12" x14ac:dyDescent="0.2">
      <c r="A42" s="6"/>
      <c r="B42" s="543"/>
      <c r="D42" s="597" t="s">
        <v>275</v>
      </c>
      <c r="E42" s="540">
        <f>E41</f>
        <v>0.05</v>
      </c>
      <c r="F42" s="598" t="s">
        <v>243</v>
      </c>
      <c r="G42" s="683" t="s">
        <v>245</v>
      </c>
      <c r="H42" s="683" t="s">
        <v>256</v>
      </c>
      <c r="I42" s="584" t="s">
        <v>276</v>
      </c>
      <c r="J42" s="684" t="str">
        <f>IF(E41&lt;0,"&lt; Ha introducido una precisión inferior al 0% (El valor esperado es en %)",IF(E41&gt;1,"&lt; ERROR: la precisión no puede ser mayor al 100%!!",""))</f>
        <v/>
      </c>
      <c r="K42" s="684"/>
      <c r="L42" s="684"/>
    </row>
    <row r="43" spans="1:12" x14ac:dyDescent="0.2">
      <c r="A43" s="6"/>
      <c r="B43" s="543"/>
      <c r="C43" s="533"/>
      <c r="D43" s="600" t="s">
        <v>277</v>
      </c>
      <c r="F43" s="685">
        <f>TRUNC(t^2*0.25/E42^2+1,0)</f>
        <v>385</v>
      </c>
      <c r="G43" s="686">
        <v>0.5</v>
      </c>
      <c r="H43" s="686">
        <v>0.5</v>
      </c>
      <c r="I43" s="687">
        <f>ROUND(t^2*0.25/E41^2,1)</f>
        <v>384.1</v>
      </c>
      <c r="J43" s="636"/>
    </row>
    <row r="44" spans="1:12" x14ac:dyDescent="0.2">
      <c r="D44" s="603" t="s">
        <v>278</v>
      </c>
      <c r="E44" s="597"/>
      <c r="F44" s="688">
        <f>TRUNC(1+(F111*(1-F111))*(t/E42)^2,0)</f>
        <v>385</v>
      </c>
      <c r="G44" s="689">
        <f>F111</f>
        <v>0.5</v>
      </c>
      <c r="H44" s="689">
        <f>1-G44</f>
        <v>0.5</v>
      </c>
      <c r="I44" s="690">
        <f>ROUND((F111*(1-F111))*(t/E41)^2,1)</f>
        <v>384.1</v>
      </c>
      <c r="J44" s="636"/>
    </row>
    <row r="45" spans="1:12" x14ac:dyDescent="0.2">
      <c r="D45" s="540" t="s">
        <v>279</v>
      </c>
    </row>
    <row r="47" spans="1:12" x14ac:dyDescent="0.2">
      <c r="B47" s="538">
        <v>4</v>
      </c>
      <c r="C47" s="533" t="s">
        <v>280</v>
      </c>
      <c r="E47" s="691" t="str">
        <f>IF(R9=0,"&lt; Aproximación a la normal no válida","")</f>
        <v/>
      </c>
    </row>
    <row r="48" spans="1:12" x14ac:dyDescent="0.2">
      <c r="B48" s="538"/>
      <c r="C48" s="538" t="s">
        <v>281</v>
      </c>
      <c r="D48" s="578" t="s">
        <v>139</v>
      </c>
      <c r="E48" s="691"/>
    </row>
    <row r="49" spans="2:12" x14ac:dyDescent="0.2">
      <c r="E49" s="692">
        <f>Prevalencia!E37</f>
        <v>0.1</v>
      </c>
      <c r="I49" s="693"/>
    </row>
    <row r="50" spans="2:12" x14ac:dyDescent="0.2">
      <c r="D50" s="540" t="s">
        <v>282</v>
      </c>
      <c r="E50" s="540">
        <f>E49</f>
        <v>0.1</v>
      </c>
      <c r="F50" s="684" t="str">
        <f>IF(E49&lt;0,"&lt; Ha introducido un valor inferior al 0% ",IF(E49&gt;1,"&lt; ERROR: ¡¡el porcentaje no puede ser mayor al 100%!!",""))</f>
        <v/>
      </c>
      <c r="I50" s="693"/>
    </row>
    <row r="51" spans="2:12" x14ac:dyDescent="0.2">
      <c r="D51" s="540" t="s">
        <v>283</v>
      </c>
      <c r="E51" s="692">
        <f>Prevalencia!E38</f>
        <v>2</v>
      </c>
      <c r="F51" s="684" t="str">
        <f>IF(AND(E51&lt;&gt;1,E51&lt;&gt;2),"&lt; ERROR: el test solo puede ser a 1 o 2 colas","")</f>
        <v/>
      </c>
      <c r="G51" s="694"/>
      <c r="I51" s="693"/>
    </row>
    <row r="52" spans="2:12" x14ac:dyDescent="0.2">
      <c r="D52" s="695" t="s">
        <v>284</v>
      </c>
      <c r="E52" s="611">
        <f>(ABS(p-po)-(1/(2*n)))/SQRT(po*(1-po)/n)</f>
        <v>17.416829780300418</v>
      </c>
      <c r="F52" s="547"/>
      <c r="G52" s="547"/>
      <c r="I52" s="693"/>
    </row>
    <row r="53" spans="2:12" x14ac:dyDescent="0.2">
      <c r="D53" s="676" t="s">
        <v>75</v>
      </c>
      <c r="E53" s="696">
        <f>IF(E51=1,(1-NORMSDIST(E52)),(2*(1-NORMSDIST(E52))))</f>
        <v>0</v>
      </c>
      <c r="F53" s="597"/>
      <c r="G53" s="697"/>
      <c r="H53" s="676"/>
      <c r="I53" s="693"/>
    </row>
    <row r="54" spans="2:12" x14ac:dyDescent="0.2">
      <c r="D54" s="578"/>
      <c r="E54" s="541"/>
      <c r="F54" s="698"/>
      <c r="I54" s="699"/>
    </row>
    <row r="55" spans="2:12" x14ac:dyDescent="0.2">
      <c r="C55" s="538" t="s">
        <v>285</v>
      </c>
      <c r="D55" s="578" t="s">
        <v>286</v>
      </c>
      <c r="E55" s="541"/>
      <c r="F55" s="698"/>
      <c r="I55" s="699"/>
    </row>
    <row r="56" spans="2:12" x14ac:dyDescent="0.2">
      <c r="D56" s="540" t="s">
        <v>246</v>
      </c>
      <c r="E56" s="640">
        <f>Prevalencia!E43</f>
        <v>0.04</v>
      </c>
      <c r="F56" s="578" t="s">
        <v>577</v>
      </c>
      <c r="H56" s="640">
        <f>E56</f>
        <v>0.04</v>
      </c>
      <c r="I56" s="699"/>
    </row>
    <row r="57" spans="2:12" x14ac:dyDescent="0.2">
      <c r="D57" s="534" t="s">
        <v>287</v>
      </c>
      <c r="E57" s="692">
        <f>Prevalencia!E44</f>
        <v>0.9</v>
      </c>
      <c r="F57" s="698"/>
      <c r="H57" s="692">
        <f>E57</f>
        <v>0.9</v>
      </c>
      <c r="I57" s="700" t="s">
        <v>288</v>
      </c>
      <c r="J57" s="539">
        <f>2*(1-H57)</f>
        <v>0.19999999999999996</v>
      </c>
    </row>
    <row r="58" spans="2:12" x14ac:dyDescent="0.2">
      <c r="D58" s="578" t="s">
        <v>576</v>
      </c>
      <c r="E58" s="549">
        <f>t</f>
        <v>1.9599639845400536</v>
      </c>
      <c r="F58" s="698"/>
      <c r="I58" s="547" t="s">
        <v>290</v>
      </c>
      <c r="J58" s="701">
        <f>ABS(NORMSINV(J57/2))</f>
        <v>1.2815515655446006</v>
      </c>
    </row>
    <row r="59" spans="2:12" x14ac:dyDescent="0.2">
      <c r="D59" s="578" t="s">
        <v>575</v>
      </c>
      <c r="E59" s="549">
        <f>J58</f>
        <v>1.2815515655446006</v>
      </c>
      <c r="F59" s="698"/>
      <c r="I59" s="699"/>
    </row>
    <row r="60" spans="2:12" x14ac:dyDescent="0.2">
      <c r="D60" s="578" t="s">
        <v>291</v>
      </c>
      <c r="E60" s="541">
        <f>J60*L60+J61*L61</f>
        <v>0.14000000000000001</v>
      </c>
      <c r="F60" s="698" t="s">
        <v>170</v>
      </c>
      <c r="I60" s="699" t="s">
        <v>292</v>
      </c>
      <c r="J60" s="540">
        <f>po-H56</f>
        <v>6.0000000000000005E-2</v>
      </c>
      <c r="K60" s="540">
        <f>ABS(0.5-J60)</f>
        <v>0.44</v>
      </c>
      <c r="L60" s="540">
        <f>IF(K60&lt;=K61,1,0)</f>
        <v>0</v>
      </c>
    </row>
    <row r="61" spans="2:12" x14ac:dyDescent="0.2">
      <c r="D61" s="578" t="s">
        <v>243</v>
      </c>
      <c r="E61" s="540">
        <f>TRUNC(F61)+1</f>
        <v>667</v>
      </c>
      <c r="F61" s="541">
        <f>((E58*SQRT(po*(1-po))+E59*SQRT(E60*(1-E60)))/H56)^2</f>
        <v>666.50583106272154</v>
      </c>
      <c r="I61" s="699" t="s">
        <v>293</v>
      </c>
      <c r="J61" s="540">
        <f>po+H56</f>
        <v>0.14000000000000001</v>
      </c>
      <c r="K61" s="540">
        <f>ABS(0.5-J61)</f>
        <v>0.36</v>
      </c>
      <c r="L61" s="540">
        <f>IF(L60=1,0,1)</f>
        <v>1</v>
      </c>
    </row>
    <row r="62" spans="2:12" x14ac:dyDescent="0.2">
      <c r="D62" s="578"/>
      <c r="E62" s="541"/>
      <c r="F62" s="698"/>
      <c r="I62" s="699"/>
    </row>
    <row r="63" spans="2:12" x14ac:dyDescent="0.2">
      <c r="D63" s="578"/>
      <c r="E63" s="541"/>
      <c r="F63" s="698"/>
      <c r="I63" s="699"/>
    </row>
    <row r="64" spans="2:12" x14ac:dyDescent="0.2">
      <c r="B64" s="538">
        <v>5</v>
      </c>
      <c r="C64" s="533" t="s">
        <v>69</v>
      </c>
      <c r="E64" s="541"/>
      <c r="F64" s="541"/>
      <c r="I64" s="699"/>
    </row>
    <row r="65" spans="1:11" x14ac:dyDescent="0.2">
      <c r="B65" s="538"/>
      <c r="C65" s="533" t="s">
        <v>294</v>
      </c>
      <c r="E65" s="541"/>
      <c r="F65" s="541"/>
      <c r="I65" s="699"/>
    </row>
    <row r="66" spans="1:11" x14ac:dyDescent="0.2">
      <c r="C66" s="702" t="s">
        <v>295</v>
      </c>
      <c r="I66" s="699"/>
    </row>
    <row r="67" spans="1:11" x14ac:dyDescent="0.2">
      <c r="C67" s="703" t="str">
        <f>"40"&amp;C69&amp;"10 horas de Bioestadística"</f>
        <v>40±10 horas de Bioestadística</v>
      </c>
      <c r="I67" s="699"/>
    </row>
    <row r="68" spans="1:11" x14ac:dyDescent="0.2">
      <c r="C68" s="702" t="s">
        <v>296</v>
      </c>
      <c r="I68" s="699"/>
    </row>
    <row r="69" spans="1:11" x14ac:dyDescent="0.2">
      <c r="C69" s="704" t="s">
        <v>297</v>
      </c>
      <c r="D69" s="644"/>
      <c r="F69" s="142"/>
      <c r="H69" s="705"/>
      <c r="I69" s="693"/>
    </row>
    <row r="70" spans="1:11" x14ac:dyDescent="0.2">
      <c r="F70" s="142"/>
      <c r="H70" s="534"/>
      <c r="I70" s="534"/>
    </row>
    <row r="71" spans="1:11" s="542" customFormat="1" ht="13.5" thickBot="1" x14ac:dyDescent="0.25">
      <c r="A71" s="706"/>
      <c r="B71" s="707"/>
      <c r="C71" s="708"/>
      <c r="H71" s="709"/>
      <c r="I71" s="709"/>
    </row>
    <row r="72" spans="1:11" s="710" customFormat="1" ht="22.5" customHeight="1" x14ac:dyDescent="0.2">
      <c r="B72" s="711"/>
      <c r="C72" s="712"/>
    </row>
    <row r="73" spans="1:11" s="710" customFormat="1" ht="15" customHeight="1" x14ac:dyDescent="0.2">
      <c r="A73" s="713" t="s">
        <v>298</v>
      </c>
      <c r="B73" s="714"/>
      <c r="C73" s="712"/>
    </row>
    <row r="74" spans="1:11" s="715" customFormat="1" x14ac:dyDescent="0.2">
      <c r="B74" s="716"/>
      <c r="C74" s="717"/>
    </row>
    <row r="75" spans="1:11" s="721" customFormat="1" x14ac:dyDescent="0.2">
      <c r="A75" s="718" t="s">
        <v>299</v>
      </c>
      <c r="B75" s="719"/>
      <c r="C75" s="720"/>
    </row>
    <row r="76" spans="1:11" s="721" customFormat="1" x14ac:dyDescent="0.2">
      <c r="A76" s="718"/>
      <c r="B76" s="719"/>
      <c r="C76" s="720"/>
      <c r="I76" s="544" t="s">
        <v>300</v>
      </c>
      <c r="J76" s="722"/>
      <c r="K76" s="722"/>
    </row>
    <row r="77" spans="1:11" s="721" customFormat="1" x14ac:dyDescent="0.2">
      <c r="A77" s="718"/>
      <c r="B77" s="719"/>
      <c r="C77" s="720"/>
      <c r="D77" s="723"/>
      <c r="E77" s="724"/>
      <c r="F77" s="725"/>
      <c r="G77" s="726"/>
      <c r="H77" s="699"/>
      <c r="I77" s="727" t="s">
        <v>301</v>
      </c>
      <c r="J77" s="728">
        <f>x/(x+(E10+1)*G79)</f>
        <v>0.38748545855406907</v>
      </c>
      <c r="K77" s="729">
        <f>((x+1)*G80)/(E10+(x+1)*G80)</f>
        <v>0.52284689888604008</v>
      </c>
    </row>
    <row r="78" spans="1:11" s="721" customFormat="1" x14ac:dyDescent="0.2">
      <c r="A78" s="718"/>
      <c r="B78" s="719"/>
      <c r="C78" s="720"/>
      <c r="D78" s="730" t="s">
        <v>302</v>
      </c>
      <c r="E78" s="731" t="s">
        <v>303</v>
      </c>
      <c r="F78" s="726" t="s">
        <v>304</v>
      </c>
      <c r="G78" s="724" t="s">
        <v>305</v>
      </c>
      <c r="H78" s="699"/>
      <c r="I78" s="727" t="s">
        <v>306</v>
      </c>
      <c r="J78" s="732">
        <f>0</f>
        <v>0</v>
      </c>
      <c r="K78" s="732">
        <f>1-J79</f>
        <v>1.6627839539993694E-2</v>
      </c>
    </row>
    <row r="79" spans="1:11" s="721" customFormat="1" x14ac:dyDescent="0.2">
      <c r="A79" s="718"/>
      <c r="B79" s="719"/>
      <c r="C79" s="720"/>
      <c r="D79" s="733">
        <f>(1-R8)/2</f>
        <v>2.5000000000000022E-2</v>
      </c>
      <c r="E79" s="734">
        <f>2*(n-x+1)</f>
        <v>242</v>
      </c>
      <c r="F79" s="735">
        <f>2*x</f>
        <v>200</v>
      </c>
      <c r="G79" s="736">
        <f>FINV($D$79,E79,F79)</f>
        <v>1.3063983529093186</v>
      </c>
      <c r="H79" s="699"/>
      <c r="I79" s="544" t="s">
        <v>307</v>
      </c>
      <c r="J79" s="680">
        <f>D79^(1/n)</f>
        <v>0.98337216046000631</v>
      </c>
      <c r="K79" s="737">
        <f>1</f>
        <v>1</v>
      </c>
    </row>
    <row r="80" spans="1:11" s="721" customFormat="1" x14ac:dyDescent="0.2">
      <c r="B80" s="738"/>
      <c r="C80" s="720"/>
      <c r="D80" s="726"/>
      <c r="E80" s="739">
        <f>2*(x+1)</f>
        <v>202</v>
      </c>
      <c r="F80" s="740">
        <f>2*(E10)</f>
        <v>240</v>
      </c>
      <c r="G80" s="724">
        <f>FINV($D$79,E80,F80)</f>
        <v>1.3018970951880735</v>
      </c>
      <c r="H80" s="699"/>
      <c r="I80" s="534" t="s">
        <v>308</v>
      </c>
      <c r="J80" s="534">
        <f>IF(x=0,J78,IF(x=n,J79,J77))</f>
        <v>0.38748545855406907</v>
      </c>
      <c r="K80" s="534">
        <f>IF(x=0,K78,IF(x=n,K79,K77))</f>
        <v>0.52284689888604008</v>
      </c>
    </row>
    <row r="81" spans="1:11" s="721" customFormat="1" x14ac:dyDescent="0.2">
      <c r="B81" s="738"/>
      <c r="C81" s="720"/>
      <c r="D81" s="699"/>
      <c r="E81" s="699"/>
      <c r="F81" s="699"/>
      <c r="G81" s="699"/>
      <c r="H81" s="699"/>
      <c r="I81" s="699"/>
    </row>
    <row r="82" spans="1:11" s="742" customFormat="1" x14ac:dyDescent="0.2">
      <c r="A82" s="718" t="s">
        <v>309</v>
      </c>
      <c r="B82" s="719"/>
      <c r="C82" s="741"/>
    </row>
    <row r="83" spans="1:11" s="742" customFormat="1" ht="13.5" thickBot="1" x14ac:dyDescent="0.25">
      <c r="B83" s="743"/>
      <c r="C83" s="744"/>
      <c r="D83" s="745" t="s">
        <v>310</v>
      </c>
      <c r="E83" s="745" t="s">
        <v>311</v>
      </c>
      <c r="F83" s="746" t="s">
        <v>312</v>
      </c>
      <c r="G83" s="746" t="s">
        <v>313</v>
      </c>
      <c r="H83" s="745" t="s">
        <v>314</v>
      </c>
      <c r="I83" s="745"/>
    </row>
    <row r="84" spans="1:11" s="742" customFormat="1" x14ac:dyDescent="0.2">
      <c r="B84" s="743"/>
      <c r="C84" s="744"/>
      <c r="D84" s="747">
        <f>1/(n+(t^2))</f>
        <v>4.467447653658474E-3</v>
      </c>
      <c r="E84" s="748">
        <f>(x-0.5)</f>
        <v>99.5</v>
      </c>
      <c r="F84" s="748">
        <f>(t^2)/2</f>
        <v>1.9207294103470618</v>
      </c>
      <c r="G84" s="749">
        <f>t*SQRT(((t^2)/4)+(x-0.5)*((n-x)+0.5)/n)</f>
        <v>14.596038568785966</v>
      </c>
      <c r="H84" s="750">
        <f>D84*(E84+F84-G84)</f>
        <v>0.38788476137975447</v>
      </c>
      <c r="I84" s="751">
        <f>D85*(E85+F85+G85)</f>
        <v>0.52281970754254692</v>
      </c>
    </row>
    <row r="85" spans="1:11" s="742" customFormat="1" ht="13.5" thickBot="1" x14ac:dyDescent="0.25">
      <c r="B85" s="743"/>
      <c r="C85" s="744"/>
      <c r="D85" s="752">
        <f>D84</f>
        <v>4.467447653658474E-3</v>
      </c>
      <c r="E85" s="753">
        <f>x+0.5</f>
        <v>100.5</v>
      </c>
      <c r="F85" s="753">
        <f>F84</f>
        <v>1.9207294103470618</v>
      </c>
      <c r="G85" s="754">
        <f>t*SQRT(((t^2)/4)+(x+0.5)*(((n-x)-0.5)/n))</f>
        <v>14.607996626185313</v>
      </c>
      <c r="H85" s="755">
        <f>H84</f>
        <v>0.38788476137975447</v>
      </c>
      <c r="I85" s="756">
        <f>I84</f>
        <v>0.52281970754254692</v>
      </c>
    </row>
    <row r="86" spans="1:11" s="742" customFormat="1" x14ac:dyDescent="0.2">
      <c r="B86" s="743"/>
      <c r="C86" s="744"/>
      <c r="G86" s="757"/>
      <c r="H86" s="758"/>
      <c r="I86" s="758"/>
    </row>
    <row r="87" spans="1:11" s="742" customFormat="1" x14ac:dyDescent="0.2">
      <c r="B87" s="743"/>
      <c r="C87" s="744"/>
      <c r="D87" s="759" t="s">
        <v>315</v>
      </c>
      <c r="E87" s="760">
        <f>F87</f>
        <v>6.7467473081396223E-2</v>
      </c>
      <c r="F87" s="761">
        <f>(I84-H84)/2</f>
        <v>6.7467473081396223E-2</v>
      </c>
      <c r="G87" s="757"/>
      <c r="H87" s="758"/>
      <c r="I87" s="758"/>
    </row>
    <row r="88" spans="1:11" s="742" customFormat="1" x14ac:dyDescent="0.2">
      <c r="B88" s="743"/>
      <c r="C88" s="744"/>
      <c r="H88" s="758"/>
      <c r="I88" s="758"/>
    </row>
    <row r="89" spans="1:11" s="742" customFormat="1" ht="13.5" thickBot="1" x14ac:dyDescent="0.25">
      <c r="A89" s="718" t="s">
        <v>316</v>
      </c>
      <c r="B89" s="719"/>
      <c r="C89" s="741"/>
      <c r="H89" s="745" t="s">
        <v>314</v>
      </c>
      <c r="I89" s="745"/>
    </row>
    <row r="90" spans="1:11" s="742" customFormat="1" x14ac:dyDescent="0.2">
      <c r="B90" s="743"/>
      <c r="C90" s="744"/>
      <c r="D90" s="745" t="s">
        <v>245</v>
      </c>
      <c r="E90" s="745" t="s">
        <v>317</v>
      </c>
      <c r="F90" s="745" t="s">
        <v>318</v>
      </c>
      <c r="G90" s="745" t="s">
        <v>319</v>
      </c>
      <c r="H90" s="750">
        <f>D91-(E91*F91+G91)</f>
        <v>0.38647593933013752</v>
      </c>
      <c r="I90" s="751">
        <f>D91+(E91*F91+G91)</f>
        <v>0.5226149697607716</v>
      </c>
    </row>
    <row r="91" spans="1:11" s="742" customFormat="1" ht="13.5" thickBot="1" x14ac:dyDescent="0.25">
      <c r="B91" s="743"/>
      <c r="C91" s="744"/>
      <c r="D91" s="747">
        <f>p</f>
        <v>0.45454545454545453</v>
      </c>
      <c r="E91" s="748">
        <f>t</f>
        <v>1.9599639845400536</v>
      </c>
      <c r="F91" s="762">
        <f>SQRT((p*q)/n)</f>
        <v>3.3570406630727107E-2</v>
      </c>
      <c r="G91" s="763">
        <f>1/(2*n)</f>
        <v>2.2727272727272726E-3</v>
      </c>
      <c r="H91" s="755">
        <f>H90</f>
        <v>0.38647593933013752</v>
      </c>
      <c r="I91" s="756">
        <f>I90</f>
        <v>0.5226149697607716</v>
      </c>
    </row>
    <row r="92" spans="1:11" s="742" customFormat="1" x14ac:dyDescent="0.2">
      <c r="B92" s="743"/>
      <c r="C92" s="744"/>
    </row>
    <row r="93" spans="1:11" s="742" customFormat="1" x14ac:dyDescent="0.2">
      <c r="B93" s="743"/>
      <c r="C93" s="744"/>
      <c r="D93" s="759" t="s">
        <v>320</v>
      </c>
      <c r="E93" s="760">
        <f>F93</f>
        <v>6.8069515215317039E-2</v>
      </c>
      <c r="F93" s="761">
        <f>(I90-H90)/2</f>
        <v>6.8069515215317039E-2</v>
      </c>
    </row>
    <row r="94" spans="1:11" s="764" customFormat="1" x14ac:dyDescent="0.2">
      <c r="B94" s="765"/>
      <c r="C94" s="766"/>
    </row>
    <row r="95" spans="1:11" s="764" customFormat="1" x14ac:dyDescent="0.2">
      <c r="A95" s="534" t="s">
        <v>321</v>
      </c>
      <c r="B95" s="765"/>
      <c r="C95" s="766"/>
    </row>
    <row r="96" spans="1:11" s="764" customFormat="1" x14ac:dyDescent="0.2">
      <c r="B96" s="765"/>
      <c r="C96" s="766"/>
      <c r="D96" s="614" t="s">
        <v>322</v>
      </c>
      <c r="E96" s="614" t="s">
        <v>323</v>
      </c>
      <c r="F96" s="614" t="s">
        <v>324</v>
      </c>
      <c r="G96" s="614" t="s">
        <v>289</v>
      </c>
      <c r="H96" s="534" t="s">
        <v>325</v>
      </c>
      <c r="I96" s="534" t="s">
        <v>326</v>
      </c>
      <c r="J96" s="767" t="s">
        <v>327</v>
      </c>
      <c r="K96" s="768"/>
    </row>
    <row r="97" spans="1:11" s="764" customFormat="1" x14ac:dyDescent="0.2">
      <c r="B97" s="765"/>
      <c r="C97" s="766"/>
      <c r="D97" s="614">
        <f>x+2</f>
        <v>102</v>
      </c>
      <c r="E97" s="614">
        <f>n-x+2</f>
        <v>122</v>
      </c>
      <c r="F97" s="614">
        <f>n+4</f>
        <v>224</v>
      </c>
      <c r="G97" s="534">
        <f>E91</f>
        <v>1.9599639845400536</v>
      </c>
      <c r="H97" s="534">
        <f>D97/F97</f>
        <v>0.45535714285714285</v>
      </c>
      <c r="I97" s="534">
        <f>G97*SQRT((D97*E97)/F97)/F97</f>
        <v>6.5216286328021025E-2</v>
      </c>
      <c r="J97" s="767">
        <f>H97-I97</f>
        <v>0.39014085652912184</v>
      </c>
      <c r="K97" s="767">
        <f>H97+I97</f>
        <v>0.52057342918516392</v>
      </c>
    </row>
    <row r="98" spans="1:11" s="764" customFormat="1" x14ac:dyDescent="0.2">
      <c r="B98" s="765"/>
      <c r="C98" s="766"/>
      <c r="D98" s="534"/>
      <c r="E98" s="534"/>
      <c r="F98" s="534"/>
      <c r="G98" s="534"/>
      <c r="H98" s="534"/>
      <c r="I98" s="534"/>
      <c r="J98" s="534"/>
    </row>
    <row r="100" spans="1:11" x14ac:dyDescent="0.2">
      <c r="A100" s="718" t="s">
        <v>328</v>
      </c>
      <c r="B100" s="719"/>
    </row>
    <row r="101" spans="1:11" x14ac:dyDescent="0.2">
      <c r="D101" s="540" t="s">
        <v>329</v>
      </c>
    </row>
    <row r="102" spans="1:11" x14ac:dyDescent="0.2">
      <c r="D102" s="547" t="s">
        <v>330</v>
      </c>
      <c r="E102" s="547" t="s">
        <v>331</v>
      </c>
    </row>
    <row r="103" spans="1:11" x14ac:dyDescent="0.2">
      <c r="D103" s="769">
        <f>L26</f>
        <v>0.38788476137975447</v>
      </c>
      <c r="E103" s="769">
        <f>M26</f>
        <v>0.52281970754254692</v>
      </c>
    </row>
    <row r="104" spans="1:11" x14ac:dyDescent="0.2">
      <c r="D104" s="547" t="s">
        <v>332</v>
      </c>
      <c r="E104" s="547" t="s">
        <v>333</v>
      </c>
    </row>
    <row r="105" spans="1:11" x14ac:dyDescent="0.2">
      <c r="D105" s="547" t="b">
        <f>F32&lt;=0.5</f>
        <v>1</v>
      </c>
      <c r="E105" s="547" t="b">
        <f>F33&gt;=0.5</f>
        <v>1</v>
      </c>
    </row>
    <row r="107" spans="1:11" x14ac:dyDescent="0.2">
      <c r="D107" s="585" t="s">
        <v>300</v>
      </c>
      <c r="E107" s="585" t="s">
        <v>334</v>
      </c>
      <c r="F107" s="584" t="s">
        <v>335</v>
      </c>
    </row>
    <row r="108" spans="1:11" x14ac:dyDescent="0.2">
      <c r="D108" s="540" t="s">
        <v>336</v>
      </c>
      <c r="E108" s="770" t="b">
        <f>AND(D105,E105)</f>
        <v>1</v>
      </c>
      <c r="F108" s="547">
        <f>IF(E108,0.5,0)</f>
        <v>0.5</v>
      </c>
    </row>
    <row r="109" spans="1:11" x14ac:dyDescent="0.2">
      <c r="D109" s="540" t="s">
        <v>337</v>
      </c>
      <c r="E109" s="770" t="b">
        <f>AND(NOT(D105),E105)</f>
        <v>0</v>
      </c>
      <c r="F109" s="547">
        <f>IF(E109,D103,0)</f>
        <v>0</v>
      </c>
    </row>
    <row r="110" spans="1:11" x14ac:dyDescent="0.2">
      <c r="D110" s="597" t="s">
        <v>338</v>
      </c>
      <c r="E110" s="771" t="b">
        <f>AND(D105,NOT(E105))</f>
        <v>0</v>
      </c>
      <c r="F110" s="584">
        <f>IF(E110,E103,0)</f>
        <v>0</v>
      </c>
    </row>
    <row r="111" spans="1:11" x14ac:dyDescent="0.2">
      <c r="E111" s="540" t="s">
        <v>339</v>
      </c>
      <c r="F111" s="540">
        <f>SUM(F108:F110)</f>
        <v>0.5</v>
      </c>
    </row>
    <row r="112" spans="1:11" x14ac:dyDescent="0.2">
      <c r="E112" s="540" t="s">
        <v>340</v>
      </c>
      <c r="F112" s="540">
        <f>1-F111</f>
        <v>0.5</v>
      </c>
    </row>
  </sheetData>
  <conditionalFormatting sqref="F31">
    <cfRule type="expression" dxfId="0" priority="1" stopIfTrue="1">
      <formula>R9=0</formula>
    </cfRule>
  </conditionalFormatting>
  <hyperlinks>
    <hyperlink ref="L1" r:id="rId1"/>
    <hyperlink ref="L2" r:id="rId2"/>
  </hyperlinks>
  <pageMargins left="0.75" right="0.75" top="0.28999999999999998" bottom="1" header="0" footer="0"/>
  <pageSetup paperSize="9" scale="22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0"/>
  <sheetViews>
    <sheetView showGridLines="0" zoomScale="85" zoomScaleNormal="85" workbookViewId="0">
      <pane ySplit="1" topLeftCell="A2" activePane="bottomLeft" state="frozenSplit"/>
      <selection activeCell="C49" sqref="C49"/>
      <selection pane="bottomLeft" activeCell="B81" sqref="B81"/>
    </sheetView>
  </sheetViews>
  <sheetFormatPr baseColWidth="10" defaultRowHeight="12.75" x14ac:dyDescent="0.2"/>
  <cols>
    <col min="1" max="1" width="2" style="25" customWidth="1"/>
    <col min="2" max="2" width="4" style="139" customWidth="1"/>
    <col min="3" max="3" width="17.7109375" style="25" customWidth="1"/>
    <col min="4" max="4" width="14.42578125" style="25" customWidth="1"/>
    <col min="5" max="5" width="14" style="25" customWidth="1"/>
    <col min="6" max="6" width="13.85546875" style="25" customWidth="1"/>
    <col min="7" max="7" width="11.5703125" style="25" customWidth="1"/>
    <col min="8" max="8" width="1.42578125" style="25" customWidth="1"/>
    <col min="9" max="9" width="11" style="25" customWidth="1"/>
    <col min="10" max="10" width="12.42578125" style="25" customWidth="1"/>
    <col min="11" max="11" width="9.5703125" style="25" customWidth="1"/>
    <col min="12" max="12" width="10.140625" style="25" customWidth="1"/>
    <col min="13" max="13" width="5.28515625" style="25" customWidth="1"/>
    <col min="14" max="14" width="9.140625" style="25" customWidth="1"/>
    <col min="15" max="15" width="20.42578125" style="25" bestFit="1" customWidth="1"/>
    <col min="16" max="18" width="11.42578125" style="25"/>
    <col min="19" max="19" width="13.5703125" style="28" hidden="1" customWidth="1"/>
    <col min="20" max="20" width="11.42578125" style="28" hidden="1" customWidth="1"/>
    <col min="21" max="22" width="11.42578125" style="25"/>
    <col min="23" max="23" width="13.140625" style="25" customWidth="1"/>
    <col min="24" max="24" width="8.85546875" style="25" customWidth="1"/>
    <col min="25" max="25" width="8.5703125" style="25" customWidth="1"/>
    <col min="26" max="26" width="7.85546875" style="25" customWidth="1"/>
    <col min="27" max="27" width="7.28515625" style="25" customWidth="1"/>
    <col min="28" max="28" width="10.140625" style="25" customWidth="1"/>
    <col min="29" max="37" width="11.42578125" style="25"/>
    <col min="38" max="43" width="0" style="25" hidden="1" customWidth="1"/>
    <col min="44" max="16384" width="11.42578125" style="25"/>
  </cols>
  <sheetData>
    <row r="1" spans="1:20" s="890" customFormat="1" ht="21.75" customHeight="1" thickBot="1" x14ac:dyDescent="0.25">
      <c r="B1" s="891" t="str">
        <f>INICIO!E1&amp; "   /  Test Ji-cuadrado para tablas 2x2. Entrada de datos, test y medidas de asociación"</f>
        <v>T2x2   /  Test Ji-cuadrado para tablas 2x2. Entrada de datos, test y medidas de asociación</v>
      </c>
      <c r="C1" s="892"/>
      <c r="D1" s="893"/>
      <c r="E1" s="894"/>
      <c r="F1" s="894"/>
      <c r="I1" s="895"/>
      <c r="J1" s="896"/>
      <c r="K1" s="897"/>
      <c r="L1" s="898"/>
      <c r="M1" s="897" t="str">
        <f>IF(OR(ISBLANK('MH01'!O1),ISERROR('MH01'!O1)),"",'MH01'!O1)</f>
        <v/>
      </c>
      <c r="N1" s="897" t="str">
        <f>IF(OR(ISBLANK('MH01'!P1),ISERROR('MH01'!P1)),"",'MH01'!P1)</f>
        <v/>
      </c>
    </row>
    <row r="2" spans="1:20" s="196" customFormat="1" ht="15.75" x14ac:dyDescent="0.25">
      <c r="A2" s="1302" t="s">
        <v>421</v>
      </c>
      <c r="B2" s="1302"/>
      <c r="C2" s="1302"/>
      <c r="D2" s="197"/>
      <c r="E2" s="198"/>
      <c r="F2" s="198"/>
      <c r="I2" s="201"/>
      <c r="J2" s="202"/>
      <c r="K2" s="203"/>
      <c r="L2" s="204"/>
      <c r="M2" s="203"/>
      <c r="N2" s="203"/>
    </row>
    <row r="3" spans="1:20" s="8" customFormat="1" ht="12.75" customHeight="1" x14ac:dyDescent="0.2">
      <c r="A3" s="8" t="str">
        <f>IF(OR(ISBLANK('MH01'!A6),ISERROR('MH01'!A6)),"",'MH01'!A6)</f>
        <v/>
      </c>
      <c r="B3" s="8" t="str">
        <f>IF(OR(ISBLANK('MH01'!B6),ISERROR('MH01'!B6)),"",'MH01'!B6)</f>
        <v/>
      </c>
      <c r="C3" s="7" t="str">
        <f>IF(OR(ISBLANK('MH01'!C6),ISERROR('MH01'!C6)),"",'MH01'!C6)</f>
        <v/>
      </c>
      <c r="D3" s="8" t="str">
        <f>IF(OR(ISBLANK('MH01'!D6),ISERROR('MH01'!D6)),"",'MH01'!D6)</f>
        <v/>
      </c>
      <c r="E3" s="8" t="str">
        <f>IF(OR(ISBLANK('MH01'!E6),ISERROR('MH01'!E6)),"",'MH01'!E6)</f>
        <v/>
      </c>
      <c r="F3" s="8" t="str">
        <f>IF(OR(ISBLANK('MH01'!F6),ISERROR('MH01'!F6)),"",'MH01'!F6)</f>
        <v/>
      </c>
      <c r="G3" s="8" t="str">
        <f>IF(OR(ISBLANK('MH01'!G6),ISERROR('MH01'!G6)),"",'MH01'!G6)</f>
        <v/>
      </c>
      <c r="H3" s="7" t="str">
        <f>IF(OR(ISBLANK('MH01'!H6),ISERROR('MH01'!H6)),"",'MH01'!H6)</f>
        <v/>
      </c>
      <c r="I3" s="7" t="str">
        <f>IF(OR(ISBLANK('MH01'!I6),ISERROR('MH01'!I6)),"",'MH01'!I6)</f>
        <v/>
      </c>
      <c r="J3" s="9" t="str">
        <f>IF(OR(ISBLANK('MH01'!L6),ISERROR('MH01'!L6)),"",'MH01'!L6)</f>
        <v/>
      </c>
      <c r="K3" s="10" t="str">
        <f>IF(OR(ISBLANK('MH01'!M6),ISERROR('MH01'!M6)),"",'MH01'!M6)</f>
        <v/>
      </c>
      <c r="L3" s="7" t="str">
        <f>IF(OR(ISBLANK('MH01'!N6),ISERROR('MH01'!N6)),"",'MH01'!N6)</f>
        <v/>
      </c>
      <c r="M3" s="7" t="str">
        <f>IF(OR(ISBLANK('MH01'!O6),ISERROR('MH01'!O6)),"",'MH01'!O6)</f>
        <v/>
      </c>
      <c r="N3" s="7" t="str">
        <f>IF(OR(ISBLANK('MH01'!P6),ISERROR('MH01'!P6)),"",'MH01'!P6)</f>
        <v/>
      </c>
      <c r="O3" s="7" t="str">
        <f>IF(OR(ISBLANK('MH01'!Q6),ISERROR('MH01'!Q6)),"",'MH01'!Q6)</f>
        <v/>
      </c>
      <c r="P3" s="7"/>
    </row>
    <row r="4" spans="1:20" s="6" customFormat="1" ht="12.75" customHeight="1" x14ac:dyDescent="0.2">
      <c r="A4" s="6" t="str">
        <f>IF(OR(ISBLANK('MH01'!A7),ISERROR('MH01'!A7)),"",'MH01'!A7)</f>
        <v/>
      </c>
      <c r="B4" s="792">
        <f>IF(OR(ISBLANK('MH01'!B7),ISERROR('MH01'!B7)),"",'MH01'!B7)</f>
        <v>1</v>
      </c>
      <c r="C4" s="11" t="str">
        <f>IF(OR(ISBLANK('MH01'!C7),ISERROR('MH01'!C7)),"",'MH01'!C7)</f>
        <v>Problema:</v>
      </c>
      <c r="D4" s="1283"/>
      <c r="E4" s="1284"/>
      <c r="F4" s="1284"/>
      <c r="G4" s="12" t="str">
        <f>IF(OR(ISBLANK('MH01'!G7),ISERROR('MH01'!G7)),"",'MH01'!G7)</f>
        <v/>
      </c>
      <c r="H4" s="7" t="str">
        <f>IF(OR(ISBLANK('MH01'!H7),ISERROR('MH01'!H7)),"",'MH01'!H7)</f>
        <v/>
      </c>
      <c r="I4" s="7" t="str">
        <f>IF(OR(ISBLANK('MH01'!I7),ISERROR('MH01'!I7)),"",'MH01'!I7)</f>
        <v/>
      </c>
      <c r="J4" s="7" t="str">
        <f>IF(OR(ISBLANK('MH01'!L7),ISERROR('MH01'!L7)),"",'MH01'!L7)</f>
        <v/>
      </c>
      <c r="K4" s="7" t="str">
        <f>IF(OR(ISBLANK('MH01'!M7),ISERROR('MH01'!M7)),"",'MH01'!M7)</f>
        <v/>
      </c>
      <c r="L4" s="7" t="str">
        <f>IF(OR(ISBLANK('MH01'!N7),ISERROR('MH01'!N7)),"",'MH01'!N7)</f>
        <v>ETIQUETAS</v>
      </c>
      <c r="M4" s="7" t="str">
        <f>IF(OR(ISBLANK('MH01'!O7),ISERROR('MH01'!O7)),"",'MH01'!O7)</f>
        <v/>
      </c>
      <c r="N4" s="7" t="str">
        <f>IF(OR(ISBLANK('MH01'!P7),ISERROR('MH01'!P7)),"",'MH01'!P7)</f>
        <v/>
      </c>
      <c r="O4" s="7" t="str">
        <f>IF(OR(ISBLANK('MH01'!Q7),ISERROR('MH01'!Q7)),"",'MH01'!Q7)</f>
        <v/>
      </c>
      <c r="P4" s="7"/>
    </row>
    <row r="5" spans="1:20" s="6" customFormat="1" ht="12.75" customHeight="1" x14ac:dyDescent="0.2">
      <c r="A5" s="6" t="str">
        <f>IF(OR(ISBLANK('MH01'!A8),ISERROR('MH01'!A8)),"",'MH01'!A8)</f>
        <v/>
      </c>
      <c r="B5" s="142" t="str">
        <f>IF(OR(ISBLANK('MH01'!B8),ISERROR('MH01'!B8)),"",'MH01'!B8)</f>
        <v/>
      </c>
      <c r="C5" s="13" t="str">
        <f>IF(OR(ISBLANK('MH01'!C8),ISERROR('MH01'!C8)),"",'MH01'!C8)</f>
        <v>Factor</v>
      </c>
      <c r="D5" s="1285" t="s">
        <v>342</v>
      </c>
      <c r="E5" s="1286"/>
      <c r="F5" s="1286"/>
      <c r="G5" s="14" t="str">
        <f>IF(OR(ISBLANK('MH01'!G8),ISERROR('MH01'!G8)),"",'MH01'!G8)</f>
        <v/>
      </c>
      <c r="H5" s="15" t="str">
        <f>IF(OR(ISBLANK('MH01'!H8),ISERROR('MH01'!H8)),"",'MH01'!H8)</f>
        <v/>
      </c>
      <c r="I5" s="16" t="str">
        <f>IF(OR(ISBLANK('MH01'!I8),ISERROR('MH01'!I8)),"",'MH01'!I8)</f>
        <v/>
      </c>
      <c r="J5" s="16" t="str">
        <f>IF(OR(ISBLANK('MH01'!L8),ISERROR('MH01'!L8)),"",'MH01'!L8)</f>
        <v/>
      </c>
      <c r="K5" s="6" t="str">
        <f>IF(OR(ISBLANK('MH01'!M8),ISERROR('MH01'!M8)),"",'MH01'!M8)</f>
        <v/>
      </c>
      <c r="L5" s="6" t="str">
        <f>IF(OR(ISBLANK('MH01'!#REF!),ISERROR('MH01'!#REF!)),"",'MH01'!#REF!)</f>
        <v/>
      </c>
      <c r="M5" s="6" t="str">
        <f>IF(OR(ISBLANK('MH01'!O8),ISERROR('MH01'!O8)),"",'MH01'!O8)</f>
        <v/>
      </c>
      <c r="N5" s="6" t="str">
        <f>IF(OR(ISBLANK('MH01'!P8),ISERROR('MH01'!P8)),"",'MH01'!P8)</f>
        <v/>
      </c>
      <c r="O5" s="6" t="str">
        <f>IF(OR(ISBLANK('MH01'!Q8),ISERROR('MH01'!Q8)),"",'MH01'!Q8)</f>
        <v/>
      </c>
    </row>
    <row r="6" spans="1:20" s="6" customFormat="1" ht="12.75" customHeight="1" x14ac:dyDescent="0.25">
      <c r="A6" s="6" t="str">
        <f>IF(OR(ISBLANK('MH01'!A9),ISERROR('MH01'!A9)),"",'MH01'!A9)</f>
        <v/>
      </c>
      <c r="B6" s="142" t="str">
        <f>IF(OR(ISBLANK('MH01'!B9),ISERROR('MH01'!B9)),"",'MH01'!B9)</f>
        <v/>
      </c>
      <c r="C6" s="17" t="str">
        <f>IF(OR(ISBLANK('MH01'!C9),ISERROR('MH01'!C9)),"",'MH01'!C9)</f>
        <v>modalidades</v>
      </c>
      <c r="D6" s="18"/>
      <c r="E6" s="772" t="s">
        <v>468</v>
      </c>
      <c r="F6" s="772" t="s">
        <v>467</v>
      </c>
      <c r="G6" s="19" t="str">
        <f>IF(OR(ISBLANK('MH01'!G9),ISERROR('MH01'!G9)),"",'MH01'!G9)</f>
        <v/>
      </c>
      <c r="H6" s="20" t="str">
        <f>IF(OR(ISBLANK('MH01'!H9),ISERROR('MH01'!H9)),"",'MH01'!H9)</f>
        <v/>
      </c>
      <c r="I6" s="4" t="str">
        <f>IF(OR(ISBLANK('MH01'!I9),ISERROR('MH01'!I9)),"",'MH01'!I9)</f>
        <v/>
      </c>
      <c r="J6" s="16" t="str">
        <f>IF(OR(ISBLANK('MH01'!L9),ISERROR('MH01'!L9)),"",'MH01'!L9)</f>
        <v/>
      </c>
      <c r="K6" s="6" t="str">
        <f>IF(OR(ISBLANK('MH01'!M9),ISERROR('MH01'!M9)),"",'MH01'!M9)</f>
        <v/>
      </c>
      <c r="L6" s="4" t="str">
        <f>IF(OR(ISBLANK('MH01'!#REF!),ISERROR('MH01'!#REF!)),"",'MH01'!#REF!)</f>
        <v/>
      </c>
      <c r="M6" s="4" t="str">
        <f>IF(OR(ISBLANK('MH01'!O9),ISERROR('MH01'!O9)),"",'MH01'!O9)</f>
        <v/>
      </c>
      <c r="N6" s="4" t="str">
        <f>IF(OR(ISBLANK('MH01'!P9),ISERROR('MH01'!P9)),"",'MH01'!P9)</f>
        <v/>
      </c>
      <c r="O6" s="4" t="str">
        <f>IF(OR(ISBLANK('MH01'!Q9),ISERROR('MH01'!Q9)),"",'MH01'!Q9)</f>
        <v/>
      </c>
      <c r="P6" s="4"/>
    </row>
    <row r="7" spans="1:20" s="6" customFormat="1" ht="13.5" customHeight="1" x14ac:dyDescent="0.2">
      <c r="A7" s="6" t="str">
        <f>IF(OR(ISBLANK('MH01'!A10),ISERROR('MH01'!A10)),"",'MH01'!A10)</f>
        <v/>
      </c>
      <c r="B7" s="142" t="str">
        <f>IF(OR(ISBLANK('MH01'!B10),ISERROR('MH01'!B10)),"",'MH01'!B10)</f>
        <v/>
      </c>
      <c r="C7" s="13" t="str">
        <f>IF(OR(ISBLANK('MH01'!C10),ISERROR('MH01'!C10)),"",'MH01'!C10)</f>
        <v>Respuesta</v>
      </c>
      <c r="D7" s="1287" t="s">
        <v>341</v>
      </c>
      <c r="E7" s="1287"/>
      <c r="F7" s="1287"/>
      <c r="G7" s="19" t="str">
        <f>IF(OR(ISBLANK('MH01'!G10),ISERROR('MH01'!G10)),"",'MH01'!G10)</f>
        <v/>
      </c>
      <c r="H7" s="20" t="str">
        <f>IF(OR(ISBLANK('MH01'!H10),ISERROR('MH01'!H10)),"",'MH01'!H10)</f>
        <v/>
      </c>
      <c r="I7" s="4" t="str">
        <f>IF(OR(ISBLANK('MH01'!I10),ISERROR('MH01'!I10)),"",'MH01'!I10)</f>
        <v/>
      </c>
      <c r="J7" s="16" t="str">
        <f>IF(OR(ISBLANK('MH01'!L10),ISERROR('MH01'!L10)),"",'MH01'!L10)</f>
        <v/>
      </c>
      <c r="K7" s="6" t="str">
        <f>IF(OR(ISBLANK('MH01'!M10),ISERROR('MH01'!M10)),"",'MH01'!M10)</f>
        <v/>
      </c>
      <c r="L7" s="4" t="str">
        <f>IF(OR(ISBLANK('MH01'!#REF!),ISERROR('MH01'!#REF!)),"",'MH01'!#REF!)</f>
        <v/>
      </c>
      <c r="M7" s="4" t="str">
        <f>IF(OR(ISBLANK('MH01'!O10),ISERROR('MH01'!O10)),"",'MH01'!O10)</f>
        <v/>
      </c>
      <c r="N7" s="4" t="str">
        <f>IF(OR(ISBLANK('MH01'!P10),ISERROR('MH01'!P10)),"",'MH01'!P10)</f>
        <v/>
      </c>
      <c r="O7" s="4" t="str">
        <f>IF(OR(ISBLANK('MH01'!Q10),ISERROR('MH01'!Q10)),"",'MH01'!Q10)</f>
        <v/>
      </c>
      <c r="P7" s="4"/>
    </row>
    <row r="8" spans="1:20" s="6" customFormat="1" ht="13.5" customHeight="1" x14ac:dyDescent="0.2">
      <c r="B8" s="142"/>
      <c r="C8" s="21" t="str">
        <f>IF(OR(ISBLANK('MH01'!C11),ISERROR('MH01'!C11)),"",'MH01'!C11)</f>
        <v>modalidades</v>
      </c>
      <c r="D8" s="205"/>
      <c r="E8" s="772" t="s">
        <v>210</v>
      </c>
      <c r="F8" s="772" t="s">
        <v>209</v>
      </c>
      <c r="G8" s="19"/>
      <c r="H8" s="20"/>
      <c r="I8" s="4"/>
      <c r="J8" s="16"/>
      <c r="L8" s="4"/>
      <c r="M8" s="4"/>
      <c r="N8" s="4"/>
      <c r="O8" s="4"/>
      <c r="P8" s="4"/>
    </row>
    <row r="9" spans="1:20" s="6" customFormat="1" ht="4.5" customHeight="1" x14ac:dyDescent="0.2">
      <c r="B9" s="142"/>
      <c r="C9" s="21"/>
      <c r="D9" s="205"/>
      <c r="E9" s="207"/>
      <c r="F9" s="207"/>
      <c r="G9" s="19"/>
      <c r="H9" s="20"/>
      <c r="I9" s="4"/>
      <c r="J9" s="16"/>
      <c r="L9" s="4"/>
      <c r="M9" s="4"/>
      <c r="N9" s="4"/>
      <c r="O9" s="4"/>
      <c r="P9" s="4"/>
    </row>
    <row r="10" spans="1:20" s="6" customFormat="1" ht="13.5" customHeight="1" x14ac:dyDescent="0.2">
      <c r="B10" s="142"/>
      <c r="C10" s="21"/>
      <c r="D10" s="205"/>
      <c r="E10" s="207"/>
      <c r="F10" s="207"/>
      <c r="G10" s="19"/>
      <c r="H10" s="20"/>
      <c r="I10" s="4"/>
      <c r="J10" s="16"/>
      <c r="L10" s="4"/>
      <c r="M10" s="4"/>
      <c r="N10" s="4"/>
      <c r="O10" s="4"/>
      <c r="P10" s="4"/>
    </row>
    <row r="11" spans="1:20" s="6" customFormat="1" ht="13.5" hidden="1" customHeight="1" x14ac:dyDescent="0.2">
      <c r="B11" s="142"/>
      <c r="C11" s="21"/>
      <c r="D11" s="205"/>
      <c r="E11" s="208" t="s">
        <v>89</v>
      </c>
      <c r="F11" s="207"/>
      <c r="G11" s="19"/>
      <c r="H11" s="20"/>
      <c r="I11" s="4"/>
      <c r="J11" s="16"/>
      <c r="L11" s="4"/>
      <c r="M11" s="4"/>
      <c r="N11" s="4"/>
      <c r="O11" s="4"/>
      <c r="P11" s="4"/>
    </row>
    <row r="12" spans="1:20" s="6" customFormat="1" ht="12.75" hidden="1" customHeight="1" x14ac:dyDescent="0.2">
      <c r="A12" s="6" t="str">
        <f>IF(OR(ISBLANK('MH01'!A11),ISERROR('MH01'!A11)),"",'MH01'!A11)</f>
        <v/>
      </c>
      <c r="B12" s="142" t="str">
        <f>IF(OR(ISBLANK('MH01'!B11),ISERROR('MH01'!B11)),"",'MH01'!B11)</f>
        <v/>
      </c>
      <c r="D12" s="22"/>
      <c r="E12" s="209" t="s">
        <v>87</v>
      </c>
      <c r="G12" s="19" t="str">
        <f>IF(OR(ISBLANK('MH01'!G11),ISERROR('MH01'!G11)),"",'MH01'!G11)</f>
        <v/>
      </c>
      <c r="H12" s="23" t="str">
        <f>IF(OR(ISBLANK('MH01'!H11),ISERROR('MH01'!H11)),"",'MH01'!H11)</f>
        <v/>
      </c>
      <c r="I12" s="6" t="str">
        <f>IF(OR(ISBLANK('MH01'!I11),ISERROR('MH01'!I11)),"",'MH01'!I11)</f>
        <v/>
      </c>
      <c r="J12" s="16" t="str">
        <f>IF(OR(ISBLANK('MH01'!L11),ISERROR('MH01'!L11)),"",'MH01'!L11)</f>
        <v/>
      </c>
      <c r="K12" s="6" t="str">
        <f>IF(OR(ISBLANK('MH01'!M11),ISERROR('MH01'!M11)),"",'MH01'!M11)</f>
        <v/>
      </c>
      <c r="L12" s="4" t="str">
        <f>IF(OR(ISBLANK('MH01'!#REF!),ISERROR('MH01'!#REF!)),"",'MH01'!#REF!)</f>
        <v/>
      </c>
      <c r="M12" s="4" t="str">
        <f>IF(OR(ISBLANK('MH01'!O11),ISERROR('MH01'!O11)),"",'MH01'!O11)</f>
        <v/>
      </c>
      <c r="N12" s="4" t="str">
        <f>IF(OR(ISBLANK('MH01'!P11),ISERROR('MH01'!P11)),"",'MH01'!P11)</f>
        <v/>
      </c>
      <c r="O12" s="4" t="str">
        <f>IF(OR(ISBLANK('MH01'!Q11),ISERROR('MH01'!Q11)),"",'MH01'!Q11)</f>
        <v/>
      </c>
      <c r="P12" s="4" t="str">
        <f>IF(OR(ISBLANK('MH01'!R11),ISERROR('MH01'!R11)),"",'MH01'!R11)</f>
        <v/>
      </c>
      <c r="Q12" s="4" t="str">
        <f>IF(OR(ISBLANK('MH01'!S11),ISERROR('MH01'!S11)),"",'MH01'!S11)</f>
        <v/>
      </c>
      <c r="R12" s="4" t="str">
        <f>IF(OR(ISBLANK('MH01'!T11),ISERROR('MH01'!T11)),"",'MH01'!T11)</f>
        <v/>
      </c>
      <c r="S12" s="4" t="str">
        <f>IF(OR(ISBLANK('MH01'!#REF!),ISERROR('MH01'!#REF!)),"",'MH01'!#REF!)</f>
        <v/>
      </c>
      <c r="T12" s="4" t="str">
        <f>IF(OR(ISBLANK('MH01'!V11),ISERROR('MH01'!V11)),"",'MH01'!V11)</f>
        <v/>
      </c>
    </row>
    <row r="13" spans="1:20" ht="12.75" hidden="1" customHeight="1" x14ac:dyDescent="0.25">
      <c r="A13" s="25" t="str">
        <f>IF(OR(ISBLANK('MH01'!A16),ISERROR('MH01'!A16)),"",'MH01'!A16)</f>
        <v/>
      </c>
      <c r="B13" s="143" t="str">
        <f>IF(OR(ISBLANK('MH01'!B16),ISERROR('MH01'!B16)),"",'MH01'!B16)</f>
        <v/>
      </c>
      <c r="D13" s="26"/>
      <c r="E13" s="212" t="s">
        <v>88</v>
      </c>
      <c r="F13" s="26"/>
      <c r="G13" s="18"/>
      <c r="H13" s="24" t="str">
        <f>IF(OR(ISBLANK('MH01'!H16),ISERROR('MH01'!H16)),"",'MH01'!H16)</f>
        <v/>
      </c>
      <c r="I13" s="24" t="str">
        <f>IF(OR(ISBLANK('MH01'!I16),ISERROR('MH01'!I16)),"",'MH01'!I16)</f>
        <v/>
      </c>
      <c r="J13" s="24" t="str">
        <f>IF(OR(ISBLANK('MH01'!L16),ISERROR('MH01'!L16)),"",'MH01'!L16)</f>
        <v/>
      </c>
      <c r="K13" s="24" t="str">
        <f>IF(OR(ISBLANK('MH01'!M16),ISERROR('MH01'!M16)),"",'MH01'!M16)</f>
        <v/>
      </c>
      <c r="L13" s="27" t="str">
        <f>IF(OR(ISBLANK('MH01'!N16),ISERROR('MH01'!N16)),"",'MH01'!N16)</f>
        <v/>
      </c>
      <c r="M13" s="27" t="str">
        <f>IF(OR(ISBLANK('MH01'!O16),ISERROR('MH01'!O16)),"",'MH01'!O16)</f>
        <v/>
      </c>
      <c r="N13" s="27" t="str">
        <f>IF(OR(ISBLANK('MH01'!P16),ISERROR('MH01'!P16)),"",'MH01'!P16)</f>
        <v/>
      </c>
      <c r="O13" s="4" t="str">
        <f>IF(OR(ISBLANK('MH01'!Q16),ISERROR('MH01'!Q16)),"",'MH01'!Q16)</f>
        <v/>
      </c>
      <c r="P13" s="4" t="str">
        <f>IF(OR(ISBLANK('MH01'!R16),ISERROR('MH01'!R16)),"",'MH01'!R16)</f>
        <v/>
      </c>
      <c r="Q13" s="4" t="str">
        <f>IF(OR(ISBLANK('MH01'!S16),ISERROR('MH01'!S16)),"",'MH01'!S16)</f>
        <v/>
      </c>
      <c r="R13" s="4" t="str">
        <f>IF(OR(ISBLANK('MH01'!T16),ISERROR('MH01'!T16)),"",'MH01'!T16)</f>
        <v/>
      </c>
      <c r="S13" s="4" t="str">
        <f>IF(OR(ISBLANK('MH01'!U16),ISERROR('MH01'!U16)),"",'MH01'!U16)</f>
        <v/>
      </c>
      <c r="T13" s="4" t="str">
        <f>IF(OR(ISBLANK('MH01'!V16),ISERROR('MH01'!V16)),"",'MH01'!V16)</f>
        <v/>
      </c>
    </row>
    <row r="14" spans="1:20" ht="12.75" customHeight="1" x14ac:dyDescent="0.25">
      <c r="A14" s="25" t="str">
        <f>IF(OR(ISBLANK('MH01'!A17),ISERROR('MH01'!A17)),"",'MH01'!A17)</f>
        <v/>
      </c>
      <c r="B14" s="143" t="str">
        <f>IF(OR(ISBLANK('MH01'!B17),ISERROR('MH01'!B17)),"",'MH01'!B17)</f>
        <v/>
      </c>
      <c r="C14" s="76" t="str">
        <f>IF(OR(ISBLANK('MH01'!C17),ISERROR('MH01'!C17)),"",'MH01'!C17)</f>
        <v>Tipo de estudio</v>
      </c>
      <c r="D14" s="102"/>
      <c r="E14" s="503" t="s">
        <v>89</v>
      </c>
      <c r="F14" s="69"/>
      <c r="G14" s="18"/>
      <c r="H14" s="24"/>
      <c r="I14" s="24"/>
      <c r="J14" s="24" t="str">
        <f>IF(OR(ISBLANK('MH01'!L17),ISERROR('MH01'!L17)),"",'MH01'!L17)</f>
        <v/>
      </c>
      <c r="K14" s="24" t="str">
        <f>IF(OR(ISBLANK('MH01'!M17),ISERROR('MH01'!M17)),"",'MH01'!M17)</f>
        <v/>
      </c>
      <c r="L14" s="27" t="str">
        <f>IF(OR(ISBLANK('MH01'!N17),ISERROR('MH01'!N17)),"",'MH01'!N17)</f>
        <v/>
      </c>
      <c r="M14" s="27" t="str">
        <f>IF(OR(ISBLANK('MH01'!O17),ISERROR('MH01'!O17)),"",'MH01'!O17)</f>
        <v/>
      </c>
      <c r="N14" s="27" t="str">
        <f>IF(OR(ISBLANK('MH01'!P17),ISERROR('MH01'!P17)),"",'MH01'!P17)</f>
        <v/>
      </c>
      <c r="O14" s="4" t="str">
        <f>IF(OR(ISBLANK('MH01'!Q17),ISERROR('MH01'!Q17)),"",'MH01'!Q17)</f>
        <v/>
      </c>
      <c r="P14" s="4" t="str">
        <f>IF(OR(ISBLANK('MH01'!R17),ISERROR('MH01'!R17)),"",'MH01'!R17)</f>
        <v/>
      </c>
      <c r="Q14" s="4" t="str">
        <f>IF(OR(ISBLANK('MH01'!S17),ISERROR('MH01'!S17)),"",'MH01'!S17)</f>
        <v/>
      </c>
      <c r="R14" s="4" t="str">
        <f>IF(OR(ISBLANK('MH01'!T17),ISERROR('MH01'!T17)),"",'MH01'!T17)</f>
        <v/>
      </c>
      <c r="S14" s="4" t="str">
        <f>IF(OR(ISBLANK('MH01'!U17),ISERROR('MH01'!U17)),"",'MH01'!U17)</f>
        <v/>
      </c>
      <c r="T14" s="4" t="str">
        <f>IF(OR(ISBLANK('MH01'!V17),ISERROR('MH01'!V17)),"",'MH01'!V17)</f>
        <v/>
      </c>
    </row>
    <row r="15" spans="1:20" ht="12.75" customHeight="1" x14ac:dyDescent="0.25">
      <c r="A15" s="25" t="str">
        <f>IF(OR(ISBLANK('MH01'!A18),ISERROR('MH01'!A18)),"",'MH01'!A18)</f>
        <v/>
      </c>
      <c r="B15" s="143" t="str">
        <f>IF(OR(ISBLANK('MH01'!B18),ISERROR('MH01'!B18)),"",'MH01'!B18)</f>
        <v/>
      </c>
      <c r="C15" s="72" t="s">
        <v>80</v>
      </c>
      <c r="D15" s="72"/>
      <c r="E15" s="439">
        <v>0.95</v>
      </c>
      <c r="F15" s="73" t="str">
        <f>IF(OR(ISBLANK('MH01'!F18),ISERROR('MH01'!F18)),"",'MH01'!F18)</f>
        <v xml:space="preserve"> Za =</v>
      </c>
      <c r="G15" s="150">
        <f>IF(OR(ISBLANK('MH01'!G18),ISERROR('MH01'!G18)),"",'MH01'!G18)</f>
        <v>1.9599639845400536</v>
      </c>
      <c r="H15" s="24"/>
      <c r="I15" s="24"/>
      <c r="J15" s="24" t="str">
        <f>IF(OR(ISBLANK('MH01'!L18),ISERROR('MH01'!L18)),"",'MH01'!L18)</f>
        <v/>
      </c>
      <c r="K15" s="24" t="str">
        <f>IF(OR(ISBLANK('MH01'!M18),ISERROR('MH01'!M18)),"",'MH01'!M18)</f>
        <v/>
      </c>
      <c r="L15" s="27"/>
      <c r="M15" s="27"/>
      <c r="N15" s="27"/>
      <c r="O15" s="4"/>
      <c r="P15" s="4"/>
      <c r="Q15" s="4"/>
      <c r="R15" s="4"/>
      <c r="S15" s="4" t="str">
        <f>IF(OR(ISBLANK('MH01'!U18),ISERROR('MH01'!U18)),"",'MH01'!U18)</f>
        <v/>
      </c>
      <c r="T15" s="4" t="str">
        <f>IF(OR(ISBLANK('MH01'!V18),ISERROR('MH01'!V18)),"",'MH01'!V18)</f>
        <v/>
      </c>
    </row>
    <row r="16" spans="1:20" ht="12.75" customHeight="1" x14ac:dyDescent="0.25">
      <c r="A16" s="25" t="str">
        <f>IF(OR(ISBLANK('MH01'!A19),ISERROR('MH01'!A19)),"",'MH01'!A19)</f>
        <v/>
      </c>
      <c r="B16" s="143"/>
      <c r="D16" s="26"/>
      <c r="E16" s="26"/>
      <c r="F16" s="26"/>
      <c r="G16" s="18"/>
      <c r="H16" s="24"/>
      <c r="I16" s="24"/>
      <c r="J16" s="24"/>
      <c r="K16" s="24"/>
      <c r="L16" s="27"/>
      <c r="M16" s="27"/>
      <c r="N16" s="27"/>
      <c r="O16" s="4"/>
      <c r="P16" s="4"/>
      <c r="Q16" s="4"/>
      <c r="R16" s="4"/>
      <c r="S16" s="4" t="str">
        <f>IF(OR(ISBLANK('MH01'!U19),ISERROR('MH01'!U19)),"",'MH01'!U19)</f>
        <v/>
      </c>
      <c r="T16" s="4" t="str">
        <f>IF(OR(ISBLANK('MH01'!V19),ISERROR('MH01'!V19)),"",'MH01'!V19)</f>
        <v/>
      </c>
    </row>
    <row r="17" spans="1:28" ht="12.75" customHeight="1" thickBot="1" x14ac:dyDescent="0.25">
      <c r="A17" s="25" t="str">
        <f>IF(OR(ISBLANK('MH01'!A20),ISERROR('MH01'!A20)),"",'MH01'!A20)</f>
        <v/>
      </c>
      <c r="B17" s="792">
        <f>IF(OR(ISBLANK('MH01'!B20),ISERROR('MH01'!B20)),"",'MH01'!B20)</f>
        <v>2</v>
      </c>
      <c r="C17" s="146" t="str">
        <f>IF(OR(ISBLANK('MH01'!C20),ISERROR('MH01'!C20)),"",'MH01'!C20)</f>
        <v>Datos</v>
      </c>
      <c r="D17" s="146" t="str">
        <f>IF(OR(ISBLANK('MH01'!D20),ISERROR('MH01'!D20)),"",'MH01'!D20)</f>
        <v/>
      </c>
      <c r="E17" s="146" t="str">
        <f>IF(OR(ISBLANK('MH01'!E20),ISERROR('MH01'!E20)),"",'MH01'!E20)</f>
        <v/>
      </c>
      <c r="F17" s="146" t="str">
        <f>IF(OR(ISBLANK('MH01'!F20),ISERROR('MH01'!F20)),"",'MH01'!F20)</f>
        <v/>
      </c>
      <c r="G17" s="146" t="str">
        <f>IF(OR(ISBLANK('MH01'!G20),ISERROR('MH01'!G20)),"",'MH01'!G20)</f>
        <v/>
      </c>
      <c r="H17" s="146" t="str">
        <f>IF(OR(ISBLANK('MH01'!H20),ISERROR('MH01'!H20)),"",'MH01'!H20)</f>
        <v/>
      </c>
      <c r="I17" s="146" t="str">
        <f>IF(OR(ISBLANK('MH01'!I20),ISERROR('MH01'!I20)),"",'MH01'!I20)</f>
        <v/>
      </c>
      <c r="J17" s="146" t="str">
        <f>IF(OR(ISBLANK('MH01'!L20),ISERROR('MH01'!L20)),"",'MH01'!L20)</f>
        <v/>
      </c>
      <c r="K17" s="146" t="str">
        <f>IF(OR(ISBLANK('MH01'!M20),ISERROR('MH01'!M20)),"",'MH01'!M20)</f>
        <v/>
      </c>
      <c r="L17" s="27"/>
      <c r="M17" s="27"/>
      <c r="N17" s="27"/>
      <c r="O17" s="4"/>
      <c r="P17" s="4"/>
      <c r="Q17" s="4"/>
      <c r="R17" s="4"/>
      <c r="S17" s="4" t="str">
        <f>IF(OR(ISBLANK('MH01'!U20),ISERROR('MH01'!U20)),"",'MH01'!U20)</f>
        <v/>
      </c>
      <c r="T17" s="4" t="str">
        <f>IF(OR(ISBLANK('MH01'!V20),ISERROR('MH01'!V20)),"",'MH01'!V20)</f>
        <v/>
      </c>
    </row>
    <row r="18" spans="1:28" ht="12.75" customHeight="1" x14ac:dyDescent="0.2">
      <c r="A18" s="25" t="str">
        <f>IF(OR(ISBLANK('MH01'!A21),ISERROR('MH01'!A21)),"",'MH01'!A21)</f>
        <v/>
      </c>
      <c r="B18" s="43" t="str">
        <f>IF(OR(ISBLANK('MH01'!B21),ISERROR('MH01'!B21)),"",'MH01'!B21)</f>
        <v/>
      </c>
      <c r="C18" s="29" t="str">
        <f>IF(OR(ISBLANK('MH01'!C21),ISERROR('MH01'!C21)),"",'MH01'!C21)</f>
        <v/>
      </c>
      <c r="D18" s="29" t="str">
        <f>IF(OR(ISBLANK('MH01'!D21),ISERROR('MH01'!D21)),"",'MH01'!D21)</f>
        <v/>
      </c>
      <c r="E18" s="29" t="str">
        <f>IF(OR(ISBLANK('MH01'!E21),ISERROR('MH01'!E21)),"",'MH01'!E21)</f>
        <v/>
      </c>
      <c r="F18" s="29" t="str">
        <f>IF(OR(ISBLANK('MH01'!F21),ISERROR('MH01'!F21)),"",'MH01'!F21)</f>
        <v/>
      </c>
      <c r="G18" s="29" t="str">
        <f>IF(OR(ISBLANK('MH01'!G21),ISERROR('MH01'!G21)),"",'MH01'!G21)</f>
        <v/>
      </c>
      <c r="H18" s="29" t="str">
        <f>IF(OR(ISBLANK('MH01'!H21),ISERROR('MH01'!H21)),"",'MH01'!H21)</f>
        <v/>
      </c>
      <c r="I18" s="29" t="str">
        <f>IF(OR(ISBLANK('MH01'!I21),ISERROR('MH01'!I21)),"",'MH01'!I21)</f>
        <v/>
      </c>
      <c r="J18" s="29" t="str">
        <f>IF(OR(ISBLANK('MH01'!L21),ISERROR('MH01'!L21)),"",'MH01'!L21)</f>
        <v/>
      </c>
      <c r="K18" s="29" t="str">
        <f>IF(OR(ISBLANK('MH01'!M21),ISERROR('MH01'!M21)),"",'MH01'!M21)</f>
        <v/>
      </c>
      <c r="L18" s="27"/>
      <c r="M18" s="27"/>
      <c r="N18" s="27"/>
      <c r="O18" s="4"/>
      <c r="P18" s="4"/>
      <c r="Q18" s="4"/>
      <c r="R18" s="4"/>
      <c r="S18" s="4">
        <f>IF(OR(ISBLANK('MH01'!U21),ISERROR('MH01'!U21)),"",'MH01'!U21)</f>
        <v>9</v>
      </c>
      <c r="T18" s="4" t="str">
        <f>IF(OR(ISBLANK('MH01'!V21),ISERROR('MH01'!V21)),"",'MH01'!V21)</f>
        <v>tabla original</v>
      </c>
    </row>
    <row r="19" spans="1:28" ht="15" customHeight="1" thickBot="1" x14ac:dyDescent="0.25">
      <c r="A19" s="25" t="str">
        <f>IF(OR(ISBLANK('MH01'!A22),ISERROR('MH01'!A22)),"",'MH01'!A22)</f>
        <v/>
      </c>
      <c r="B19" s="25" t="str">
        <f>IF(OR(ISBLANK('MH01'!B22),ISERROR('MH01'!B22)),"",'MH01'!B22)</f>
        <v/>
      </c>
      <c r="C19" s="1288" t="str">
        <f>IF(OR(ISBLANK('MH01'!C22),ISERROR('MH01'!C22)),"",'MH01'!C22)</f>
        <v/>
      </c>
      <c r="D19" s="1280" t="str">
        <f>IF(OR(ISBLANK('MH01'!D22),ISERROR('MH01'!D22)),"",'MH01'!D22)</f>
        <v/>
      </c>
      <c r="E19" s="1290" t="str">
        <f>IF(OR(ISBLANK('MH01'!E22),ISERROR('MH01'!E22)),"",'MH01'!E22)</f>
        <v>Droga</v>
      </c>
      <c r="F19" s="1290" t="str">
        <f>IF(OR(ISBLANK('MH01'!F22),ISERROR('MH01'!F22)),"",'MH01'!F22)</f>
        <v/>
      </c>
      <c r="G19" s="29" t="str">
        <f>IF(OR(ISBLANK('MH01'!G22),ISERROR('MH01'!G22)),"",'MH01'!G22)</f>
        <v/>
      </c>
      <c r="H19" s="29" t="str">
        <f>IF(OR(ISBLANK('MH01'!H22),ISERROR('MH01'!H22)),"",'MH01'!H22)</f>
        <v/>
      </c>
      <c r="I19" s="29" t="str">
        <f>IF(OR(ISBLANK('MH01'!I22),ISERROR('MH01'!I22)),"",'MH01'!I22)</f>
        <v/>
      </c>
      <c r="J19" s="29" t="str">
        <f>IF(OR(ISBLANK('MH01'!L22),ISERROR('MH01'!L22)),"",'MH01'!L22)</f>
        <v/>
      </c>
      <c r="K19" s="29" t="str">
        <f>IF(OR(ISBLANK('MH01'!M22),ISERROR('MH01'!M22)),"",'MH01'!M22)</f>
        <v/>
      </c>
      <c r="O19" s="4"/>
      <c r="P19" s="4"/>
      <c r="Q19" s="4"/>
      <c r="R19" s="4"/>
      <c r="S19" s="4" t="str">
        <f>IF(OR(ISBLANK('MH01'!U22),ISERROR('MH01'!U22)),"",'MH01'!U22)</f>
        <v/>
      </c>
      <c r="T19" s="4" t="str">
        <f>IF(OR(ISBLANK('MH01'!V22),ISERROR('MH01'!V22)),"",'MH01'!V22)</f>
        <v/>
      </c>
    </row>
    <row r="20" spans="1:28" ht="12.75" customHeight="1" thickBot="1" x14ac:dyDescent="0.25">
      <c r="A20" s="25" t="str">
        <f>IF(OR(ISBLANK('MH01'!A23),ISERROR('MH01'!A23)),"",'MH01'!A23)</f>
        <v/>
      </c>
      <c r="B20" s="43" t="str">
        <f>IF(OR(ISBLANK('MH01'!B23),ISERROR('MH01'!B23)),"",'MH01'!B23)</f>
        <v/>
      </c>
      <c r="C20" s="1280" t="str">
        <f>IF(OR(ISBLANK('MH01'!C23),ISERROR('MH01'!C23)),"",'MH01'!C23)</f>
        <v/>
      </c>
      <c r="D20" s="1289" t="str">
        <f>IF(OR(ISBLANK('MH01'!D23),ISERROR('MH01'!D23)),"",'MH01'!D23)</f>
        <v/>
      </c>
      <c r="E20" s="34" t="str">
        <f>IF(OR(ISBLANK('MH01'!E23),ISERROR('MH01'!E23)),"",'MH01'!E23)</f>
        <v>Fenilepinefrina</v>
      </c>
      <c r="F20" s="279" t="str">
        <f>IF(OR(ISBLANK('MH01'!F23),ISERROR('MH01'!F23)),"",'MH01'!F23)</f>
        <v>Norepinefrina</v>
      </c>
      <c r="G20" s="29" t="str">
        <f>IF(OR(ISBLANK('MH01'!G23),ISERROR('MH01'!G23)),"",'MH01'!G23)</f>
        <v/>
      </c>
      <c r="H20" s="29" t="str">
        <f>IF(OR(ISBLANK('MH01'!H23),ISERROR('MH01'!H23)),"",'MH01'!H23)</f>
        <v/>
      </c>
      <c r="I20" s="1281" t="str">
        <f>IF(OR(ISBLANK('MH01'!I23),ISERROR('MH01'!I23)),"",'MH01'!I23)</f>
        <v>% por filas</v>
      </c>
      <c r="J20" s="1294" t="str">
        <f>IF(OR(ISBLANK('MH01'!L23),ISERROR('MH01'!L23)),"",'MH01'!L23)</f>
        <v/>
      </c>
      <c r="K20" s="1282" t="str">
        <f>IF(OR(ISBLANK('MH01'!M23),ISERROR('MH01'!M23)),"",'MH01'!M23)</f>
        <v/>
      </c>
      <c r="O20" s="4"/>
      <c r="P20" s="4"/>
      <c r="Q20" s="4"/>
      <c r="R20" s="4"/>
      <c r="S20" s="4">
        <f>IF(OR(ISBLANK('MH01'!U23),ISERROR('MH01'!U23)),"",'MH01'!U23)</f>
        <v>8.5965140421550341</v>
      </c>
      <c r="T20" s="4" t="str">
        <f>IF(OR(ISBLANK('MH01'!V23),ISERROR('MH01'!V23)),"",'MH01'!V23)</f>
        <v>tabla +h</v>
      </c>
    </row>
    <row r="21" spans="1:28" ht="12.75" customHeight="1" x14ac:dyDescent="0.2">
      <c r="A21" s="25" t="str">
        <f>IF(OR(ISBLANK('MH01'!A24),ISERROR('MH01'!A24)),"",'MH01'!A24)</f>
        <v/>
      </c>
      <c r="B21" s="43" t="str">
        <f>IF(OR(ISBLANK('MH01'!B24),ISERROR('MH01'!B24)),"",'MH01'!B24)</f>
        <v/>
      </c>
      <c r="C21" s="1280" t="str">
        <f>IF(OR(ISBLANK('MH01'!C24),ISERROR('MH01'!C24)),"",'MH01'!C24)</f>
        <v xml:space="preserve">Bradicardia  </v>
      </c>
      <c r="D21" s="917" t="str">
        <f>IF(OR(ISBLANK('MH01'!D24),ISERROR('MH01'!D24)),"",'MH01'!D24)</f>
        <v>Si</v>
      </c>
      <c r="E21" s="773">
        <v>75</v>
      </c>
      <c r="F21" s="774">
        <v>25</v>
      </c>
      <c r="G21" s="33">
        <f>IF(OR(ISBLANK('MH01'!G24),ISERROR('MH01'!G24)),"",'MH01'!G24)</f>
        <v>100</v>
      </c>
      <c r="H21" s="34" t="str">
        <f>IF(OR(ISBLANK('MH01'!H24),ISERROR('MH01'!H24)),"",'MH01'!H24)</f>
        <v/>
      </c>
      <c r="I21" s="433">
        <f>IF(OR(ISBLANK('MH01'!I24),ISERROR('MH01'!I24)),"",'MH01'!I24)</f>
        <v>0.75</v>
      </c>
      <c r="J21" s="434">
        <f>IF(OR(ISBLANK('MH01'!J24),ISERROR('MH01'!J24)),"",'MH01'!J24)</f>
        <v>0.25</v>
      </c>
      <c r="K21" s="435">
        <f>IF(OR(ISBLANK('MH01'!K24),ISERROR('MH01'!K24)),"",'MH01'!K24)</f>
        <v>1</v>
      </c>
      <c r="L21" s="36"/>
      <c r="M21" s="37"/>
      <c r="O21" s="4"/>
      <c r="P21" s="4"/>
      <c r="Q21" s="4"/>
      <c r="R21" s="4"/>
      <c r="S21" s="4" t="str">
        <f>IF(OR(ISBLANK('MH01'!U24),ISERROR('MH01'!U24)),"",'MH01'!U24)</f>
        <v/>
      </c>
      <c r="T21" s="4" t="str">
        <f>IF(OR(ISBLANK('MH01'!V24),ISERROR('MH01'!V24)),"",'MH01'!V24)</f>
        <v/>
      </c>
    </row>
    <row r="22" spans="1:28" ht="12.75" customHeight="1" thickBot="1" x14ac:dyDescent="0.25">
      <c r="A22" s="25" t="str">
        <f>IF(OR(ISBLANK('MH01'!A25),ISERROR('MH01'!A25)),"",'MH01'!A25)</f>
        <v/>
      </c>
      <c r="B22" s="43" t="str">
        <f>IF(OR(ISBLANK('MH01'!B25),ISERROR('MH01'!B25)),"",'MH01'!B25)</f>
        <v/>
      </c>
      <c r="C22" s="1280" t="str">
        <f>IF(OR(ISBLANK('MH01'!C25),ISERROR('MH01'!C25)),"",'MH01'!C25)</f>
        <v/>
      </c>
      <c r="D22" s="918" t="str">
        <f>IF(OR(ISBLANK('MH01'!D25),ISERROR('MH01'!D25)),"",'MH01'!D25)</f>
        <v>No</v>
      </c>
      <c r="E22" s="775">
        <v>30</v>
      </c>
      <c r="F22" s="776">
        <v>90</v>
      </c>
      <c r="G22" s="31">
        <f>IF(OR(ISBLANK('MH01'!G25),ISERROR('MH01'!G25)),"",'MH01'!G25)</f>
        <v>120</v>
      </c>
      <c r="H22" s="34" t="str">
        <f>IF(OR(ISBLANK('MH01'!H25),ISERROR('MH01'!H25)),"",'MH01'!H25)</f>
        <v/>
      </c>
      <c r="I22" s="425">
        <f>IF(OR(ISBLANK('MH01'!I25),ISERROR('MH01'!I25)),"",'MH01'!I25)</f>
        <v>0.25</v>
      </c>
      <c r="J22" s="436">
        <f>IF(OR(ISBLANK('MH01'!J25),ISERROR('MH01'!J25)),"",'MH01'!J25)</f>
        <v>0.75</v>
      </c>
      <c r="K22" s="437">
        <f>IF(OR(ISBLANK('MH01'!K25),ISERROR('MH01'!K25)),"",'MH01'!K25)</f>
        <v>1</v>
      </c>
      <c r="L22" s="36"/>
      <c r="M22" s="37"/>
      <c r="O22" s="4"/>
      <c r="P22" s="4"/>
      <c r="Q22" s="4"/>
      <c r="R22" s="4"/>
      <c r="S22" s="4" t="str">
        <f>IF(OR(ISBLANK('MH01'!U25),ISERROR('MH01'!U25)),"",'MH01'!U25)</f>
        <v/>
      </c>
      <c r="T22" s="4" t="str">
        <f>IF(OR(ISBLANK('MH01'!V25),ISERROR('MH01'!V25)),"",'MH01'!V25)</f>
        <v/>
      </c>
    </row>
    <row r="23" spans="1:28" ht="12.75" customHeight="1" thickBot="1" x14ac:dyDescent="0.25">
      <c r="A23" s="25" t="str">
        <f>IF(OR(ISBLANK('MH01'!A26),ISERROR('MH01'!A26)),"",'MH01'!A26)</f>
        <v/>
      </c>
      <c r="B23" s="43" t="str">
        <f>IF(OR(ISBLANK('MH01'!B26),ISERROR('MH01'!B26)),"",'MH01'!B26)</f>
        <v/>
      </c>
      <c r="C23" s="29" t="str">
        <f>IF(OR(ISBLANK('MH01'!C26),ISERROR('MH01'!C26)),"",'MH01'!C26)</f>
        <v/>
      </c>
      <c r="D23" s="29" t="str">
        <f>IF(OR(ISBLANK('MH01'!D26),ISERROR('MH01'!D26)),"",'MH01'!D26)</f>
        <v/>
      </c>
      <c r="E23" s="42">
        <f>IF(OR(ISBLANK('MH01'!E26),ISERROR('MH01'!E26)),"",'MH01'!E26)</f>
        <v>105</v>
      </c>
      <c r="F23" s="31">
        <f>IF(OR(ISBLANK('MH01'!F26),ISERROR('MH01'!F26)),"",'MH01'!F26)</f>
        <v>115</v>
      </c>
      <c r="G23" s="42">
        <f>IF(OR(ISBLANK('MH01'!G26),ISERROR('MH01'!G26)),"",'MH01'!G26)</f>
        <v>220</v>
      </c>
      <c r="H23" s="34" t="str">
        <f>IF(OR(ISBLANK('MH01'!H26),ISERROR('MH01'!H26)),"",'MH01'!H26)</f>
        <v/>
      </c>
      <c r="I23" s="26" t="str">
        <f>IF(OR(ISBLANK('MH01'!I26),ISERROR('MH01'!I26)),"",'MH01'!I26)</f>
        <v/>
      </c>
      <c r="J23" s="26" t="str">
        <f>IF(OR(ISBLANK('MH01'!L26),ISERROR('MH01'!L26)),"",'MH01'!L26)</f>
        <v/>
      </c>
      <c r="K23" s="26" t="str">
        <f>IF(OR(ISBLANK('MH01'!M26),ISERROR('MH01'!M26)),"",'MH01'!M26)</f>
        <v/>
      </c>
      <c r="O23" s="4"/>
      <c r="P23" s="4"/>
      <c r="Q23" s="4"/>
      <c r="R23" s="4"/>
      <c r="S23" s="4" t="str">
        <f>IF(OR(ISBLANK('MH01'!U26),ISERROR('MH01'!U26)),"",'MH01'!U26)</f>
        <v/>
      </c>
      <c r="T23" s="4" t="str">
        <f>IF(OR(ISBLANK('MH01'!V26),ISERROR('MH01'!V26)),"",'MH01'!V26)</f>
        <v/>
      </c>
    </row>
    <row r="24" spans="1:28" s="27" customFormat="1" ht="12.75" customHeight="1" thickBot="1" x14ac:dyDescent="0.25">
      <c r="A24" s="27" t="str">
        <f>IF(OR(ISBLANK('MH01'!A27),ISERROR('MH01'!A27)),"",'MH01'!A27)</f>
        <v/>
      </c>
      <c r="B24" s="43" t="str">
        <f>IF(OR(ISBLANK('MH01'!B27),ISERROR('MH01'!B27)),"",'MH01'!B27)</f>
        <v/>
      </c>
      <c r="C24" s="34" t="str">
        <f>IF(OR(ISBLANK('MH01'!C27),ISERROR('MH01'!C27)),"",'MH01'!C27)</f>
        <v/>
      </c>
      <c r="D24" s="34" t="str">
        <f>IF(OR(ISBLANK('MH01'!D27),ISERROR('MH01'!D27)),"",'MH01'!D27)</f>
        <v/>
      </c>
      <c r="E24" s="34" t="str">
        <f>IF(OR(ISBLANK('MH01'!E27),ISERROR('MH01'!E27)),"",'MH01'!E27)</f>
        <v/>
      </c>
      <c r="F24" s="34" t="str">
        <f>IF(OR(ISBLANK('MH01'!F27),ISERROR('MH01'!F27)),"",'MH01'!F27)</f>
        <v/>
      </c>
      <c r="G24" s="34" t="str">
        <f>IF(OR(ISBLANK('MH01'!G27),ISERROR('MH01'!G27)),"",'MH01'!G27)</f>
        <v/>
      </c>
      <c r="H24" s="34" t="str">
        <f>IF(OR(ISBLANK('MH01'!H27),ISERROR('MH01'!H27)),"",'MH01'!H27)</f>
        <v/>
      </c>
      <c r="I24" s="44" t="str">
        <f>IF(OR(ISBLANK('MH01'!I27),ISERROR('MH01'!I27)),"",'MH01'!I27)</f>
        <v/>
      </c>
      <c r="J24" s="44" t="str">
        <f>IF(OR(ISBLANK('MH01'!L27),ISERROR('MH01'!L27)),"",'MH01'!L27)</f>
        <v/>
      </c>
      <c r="K24" s="44" t="str">
        <f>IF(OR(ISBLANK('MH01'!M27),ISERROR('MH01'!M27)),"",'MH01'!M27)</f>
        <v/>
      </c>
      <c r="O24" s="4"/>
      <c r="P24" s="4"/>
      <c r="Q24" s="4"/>
      <c r="R24" s="4"/>
      <c r="S24" s="4" t="str">
        <f>IF(OR(ISBLANK('MH01'!U27),ISERROR('MH01'!U27)),"",'MH01'!U27)</f>
        <v/>
      </c>
      <c r="T24" s="4" t="str">
        <f>IF(OR(ISBLANK('MH01'!V27),ISERROR('MH01'!V27)),"",'MH01'!V27)</f>
        <v/>
      </c>
    </row>
    <row r="25" spans="1:28" ht="12.75" customHeight="1" thickBot="1" x14ac:dyDescent="0.25">
      <c r="A25" s="25" t="str">
        <f>IF(OR(ISBLANK('MH01'!A28),ISERROR('MH01'!A28)),"",'MH01'!A28)</f>
        <v/>
      </c>
      <c r="B25" s="43" t="str">
        <f>IF(OR(ISBLANK('MH01'!B28),ISERROR('MH01'!B28)),"",'MH01'!B28)</f>
        <v/>
      </c>
      <c r="C25" s="29" t="str">
        <f>IF(OR(ISBLANK('MH01'!C28),ISERROR('MH01'!C28)),"",'MH01'!C28)</f>
        <v/>
      </c>
      <c r="D25" s="26" t="str">
        <f>IF(OR(ISBLANK('MH01'!D28),ISERROR('MH01'!D28)),"",'MH01'!D28)</f>
        <v/>
      </c>
      <c r="E25" s="1281" t="str">
        <f>IF(OR(ISBLANK('MH01'!E28),ISERROR('MH01'!E28)),"",'MH01'!E28)</f>
        <v>% por  columnas</v>
      </c>
      <c r="F25" s="1282" t="str">
        <f>IF(OR(ISBLANK('MH01'!F28),ISERROR('MH01'!F28)),"",'MH01'!F28)</f>
        <v/>
      </c>
      <c r="G25" s="45" t="str">
        <f>IF(OR(ISBLANK('MH01'!G28),ISERROR('MH01'!G28)),"",'MH01'!G28)</f>
        <v/>
      </c>
      <c r="H25" s="45" t="str">
        <f>IF(OR(ISBLANK('MH01'!H28),ISERROR('MH01'!H28)),"",'MH01'!H28)</f>
        <v/>
      </c>
      <c r="I25" s="1281" t="str">
        <f>IF(OR(ISBLANK('MH01'!I28),ISERROR('MH01'!I28)),"",'MH01'!I28)</f>
        <v>% totales</v>
      </c>
      <c r="J25" s="1294" t="str">
        <f>IF(OR(ISBLANK('MH01'!L28),ISERROR('MH01'!L28)),"",'MH01'!L28)</f>
        <v/>
      </c>
      <c r="K25" s="1282" t="str">
        <f>IF(OR(ISBLANK('MH01'!M28),ISERROR('MH01'!M28)),"",'MH01'!M28)</f>
        <v/>
      </c>
      <c r="O25" s="4"/>
      <c r="P25" s="4"/>
      <c r="Q25" s="4"/>
      <c r="R25" s="4"/>
      <c r="S25" s="4">
        <f>IF(OR(ISBLANK('MH01'!U28),ISERROR('MH01'!U28)),"",'MH01'!U28)</f>
        <v>8.7852780456444872</v>
      </c>
      <c r="T25" s="4" t="str">
        <f>IF(OR(ISBLANK('MH01'!V28),ISERROR('MH01'!V28)),"",'MH01'!V28)</f>
        <v>tabla + 0.5</v>
      </c>
    </row>
    <row r="26" spans="1:28" ht="12.75" customHeight="1" x14ac:dyDescent="0.2">
      <c r="A26" s="25" t="str">
        <f>IF(OR(ISBLANK('MH01'!A29),ISERROR('MH01'!A29)),"",'MH01'!A29)</f>
        <v/>
      </c>
      <c r="B26" s="43" t="str">
        <f>IF(OR(ISBLANK('MH01'!B29),ISERROR('MH01'!B29)),"",'MH01'!B29)</f>
        <v/>
      </c>
      <c r="C26" s="29" t="str">
        <f>IF(OR(ISBLANK('MH01'!C29),ISERROR('MH01'!C29)),"",'MH01'!C29)</f>
        <v/>
      </c>
      <c r="D26" s="26" t="str">
        <f>IF(OR(ISBLANK('MH01'!D29),ISERROR('MH01'!D29)),"",'MH01'!D29)</f>
        <v/>
      </c>
      <c r="E26" s="417">
        <f>IF(OR(ISBLANK('MH01'!E29),ISERROR('MH01'!E29)),"",'MH01'!E29)</f>
        <v>0.7142857142857143</v>
      </c>
      <c r="F26" s="418">
        <f>IF(OR(ISBLANK('MH01'!F29),ISERROR('MH01'!F29)),"",'MH01'!F29)</f>
        <v>0.21739130434782608</v>
      </c>
      <c r="G26" s="419" t="str">
        <f>IF(OR(ISBLANK('MH01'!G29),ISERROR('MH01'!G29)),"",'MH01'!G29)</f>
        <v/>
      </c>
      <c r="H26" s="419" t="str">
        <f>IF(OR(ISBLANK('MH01'!H29),ISERROR('MH01'!H29)),"",'MH01'!H29)</f>
        <v/>
      </c>
      <c r="I26" s="420">
        <f>IF(OR(ISBLANK('MH01'!I29),ISERROR('MH01'!I29)),"",'MH01'!I29)</f>
        <v>0.34090909090909088</v>
      </c>
      <c r="J26" s="421">
        <f>IF(OR(ISBLANK('MH01'!J29),ISERROR('MH01'!J29)),"",'MH01'!J29)</f>
        <v>0.11363636363636363</v>
      </c>
      <c r="K26" s="422">
        <f>IF(OR(ISBLANK('MH01'!K29),ISERROR('MH01'!K29)),"",'MH01'!K29)</f>
        <v>0.45454545454545453</v>
      </c>
      <c r="O26" s="4"/>
      <c r="P26" s="4"/>
      <c r="Q26" s="4"/>
      <c r="R26" s="4"/>
      <c r="S26" s="4" t="str">
        <f>IF(OR(ISBLANK('MH01'!U29),ISERROR('MH01'!U29)),"",'MH01'!U29)</f>
        <v/>
      </c>
      <c r="T26" s="4" t="str">
        <f>IF(OR(ISBLANK('MH01'!V29),ISERROR('MH01'!V29)),"",'MH01'!V29)</f>
        <v/>
      </c>
    </row>
    <row r="27" spans="1:28" ht="12.75" customHeight="1" thickBot="1" x14ac:dyDescent="0.25">
      <c r="A27" s="25" t="str">
        <f>IF(OR(ISBLANK('MH01'!A30),ISERROR('MH01'!A30)),"",'MH01'!A30)</f>
        <v/>
      </c>
      <c r="B27" s="43" t="str">
        <f>IF(OR(ISBLANK('MH01'!B30),ISERROR('MH01'!B30)),"",'MH01'!B30)</f>
        <v/>
      </c>
      <c r="C27" s="26" t="str">
        <f>IF(OR(ISBLANK('MH01'!C30),ISERROR('MH01'!C30)),"",'MH01'!C30)</f>
        <v/>
      </c>
      <c r="D27" s="26" t="str">
        <f>IF(OR(ISBLANK('MH01'!D30),ISERROR('MH01'!D30)),"",'MH01'!D30)</f>
        <v/>
      </c>
      <c r="E27" s="423">
        <f>IF(OR(ISBLANK('MH01'!E30),ISERROR('MH01'!E30)),"",'MH01'!E30)</f>
        <v>0.2857142857142857</v>
      </c>
      <c r="F27" s="424">
        <f>IF(OR(ISBLANK('MH01'!F30),ISERROR('MH01'!F30)),"",'MH01'!F30)</f>
        <v>0.78260869565217395</v>
      </c>
      <c r="G27" s="419" t="str">
        <f>IF(OR(ISBLANK('MH01'!G30),ISERROR('MH01'!G30)),"",'MH01'!G30)</f>
        <v/>
      </c>
      <c r="H27" s="419" t="str">
        <f>IF(OR(ISBLANK('MH01'!H30),ISERROR('MH01'!H30)),"",'MH01'!H30)</f>
        <v/>
      </c>
      <c r="I27" s="425">
        <f>IF(OR(ISBLANK('MH01'!I30),ISERROR('MH01'!I30)),"",'MH01'!I30)</f>
        <v>0.13636363636363635</v>
      </c>
      <c r="J27" s="426">
        <f>IF(OR(ISBLANK('MH01'!J30),ISERROR('MH01'!J30)),"",'MH01'!J30)</f>
        <v>0.40909090909090912</v>
      </c>
      <c r="K27" s="427">
        <f>IF(OR(ISBLANK('MH01'!K30),ISERROR('MH01'!K30)),"",'MH01'!K30)</f>
        <v>0.54545454545454541</v>
      </c>
      <c r="L27" s="53"/>
      <c r="O27" s="4"/>
      <c r="P27" s="4"/>
      <c r="Q27" s="4"/>
      <c r="R27" s="4"/>
      <c r="S27" s="4" t="str">
        <f>IF(OR(ISBLANK('MH01'!U30),ISERROR('MH01'!U30)),"",'MH01'!U30)</f>
        <v/>
      </c>
      <c r="T27" s="4" t="str">
        <f>IF(OR(ISBLANK('MH01'!V30),ISERROR('MH01'!V30)),"",'MH01'!V30)</f>
        <v/>
      </c>
    </row>
    <row r="28" spans="1:28" ht="12.75" customHeight="1" thickBot="1" x14ac:dyDescent="0.25">
      <c r="A28" s="25" t="str">
        <f>IF(OR(ISBLANK('MH01'!A31),ISERROR('MH01'!A31)),"",'MH01'!A31)</f>
        <v/>
      </c>
      <c r="B28" s="43" t="str">
        <f>IF(OR(ISBLANK('MH01'!B31),ISERROR('MH01'!B31)),"",'MH01'!B31)</f>
        <v/>
      </c>
      <c r="C28" s="915" t="str">
        <f>IF(LEFT(UPPER(E14),1)="T","Ir a prevalencia","")</f>
        <v>Ir a prevalencia</v>
      </c>
      <c r="D28" s="29" t="str">
        <f>IF(OR(ISBLANK('MH01'!D31),ISERROR('MH01'!D31)),"",'MH01'!D31)</f>
        <v/>
      </c>
      <c r="E28" s="428">
        <f>IF(OR(ISBLANK('MH01'!E31),ISERROR('MH01'!E31)),"",'MH01'!E31)</f>
        <v>1</v>
      </c>
      <c r="F28" s="429">
        <f>IF(OR(ISBLANK('MH01'!F31),ISERROR('MH01'!F31)),"",'MH01'!F31)</f>
        <v>1</v>
      </c>
      <c r="G28" s="430" t="str">
        <f>IF(OR(ISBLANK('MH01'!G31),ISERROR('MH01'!G31)),"",'MH01'!G31)</f>
        <v/>
      </c>
      <c r="H28" s="430" t="str">
        <f>IF(OR(ISBLANK('MH01'!H31),ISERROR('MH01'!H31)),"",'MH01'!H31)</f>
        <v/>
      </c>
      <c r="I28" s="431">
        <f>IF(OR(ISBLANK('MH01'!I31),ISERROR('MH01'!I31)),"",'MH01'!I31)</f>
        <v>0.47727272727272724</v>
      </c>
      <c r="J28" s="432">
        <f>IF(OR(ISBLANK('MH01'!J31),ISERROR('MH01'!J31)),"",'MH01'!J31)</f>
        <v>0.52272727272727271</v>
      </c>
      <c r="K28" s="919">
        <f>IF(OR(ISBLANK('MH01'!K31),ISERROR('MH01'!K31)),"",'MH01'!K31)</f>
        <v>1</v>
      </c>
      <c r="L28" s="53"/>
      <c r="O28" s="4"/>
      <c r="P28" s="4"/>
      <c r="Q28" s="4"/>
      <c r="R28" s="4"/>
      <c r="S28" s="4" t="str">
        <f>IF(OR(ISBLANK('MH01'!U31),ISERROR('MH01'!U31)),"",'MH01'!U31)</f>
        <v/>
      </c>
      <c r="T28" s="4" t="str">
        <f>IF(OR(ISBLANK('MH01'!V31),ISERROR('MH01'!V31)),"",'MH01'!V31)</f>
        <v/>
      </c>
      <c r="AB28" s="61"/>
    </row>
    <row r="29" spans="1:28" ht="12.75" customHeight="1" x14ac:dyDescent="0.2">
      <c r="B29" s="43"/>
      <c r="C29" s="915" t="s">
        <v>232</v>
      </c>
      <c r="D29" s="29"/>
      <c r="E29" s="522"/>
      <c r="F29" s="522"/>
      <c r="G29" s="430"/>
      <c r="H29" s="430"/>
      <c r="I29" s="523"/>
      <c r="J29" s="523"/>
      <c r="K29" s="524"/>
      <c r="L29" s="53"/>
      <c r="O29" s="4"/>
      <c r="P29" s="4"/>
      <c r="Q29" s="4"/>
      <c r="R29" s="4"/>
      <c r="S29" s="4"/>
      <c r="T29" s="4"/>
      <c r="AB29" s="61"/>
    </row>
    <row r="30" spans="1:28" ht="12.75" customHeight="1" x14ac:dyDescent="0.2">
      <c r="A30" s="25" t="str">
        <f>IF(OR(ISBLANK('MH01'!A32),ISERROR('MH01'!A32)),"",'MH01'!A32)</f>
        <v/>
      </c>
      <c r="B30" s="43" t="str">
        <f>IF(OR(ISBLANK('MH01'!B32),ISERROR('MH01'!B32)),"",'MH01'!B32)</f>
        <v/>
      </c>
      <c r="C30" s="916" t="str">
        <f>IF(OR(ISBLANK('MH01'!C32),ISERROR('MH01'!C32)),"",'MH01'!C32)</f>
        <v/>
      </c>
      <c r="D30" s="916" t="str">
        <f>IF(OR(ISBLANK('MH01'!D32),ISERROR('MH01'!D32)),"",'MH01'!D32)</f>
        <v/>
      </c>
      <c r="E30" s="148" t="str">
        <f>IF(OR(ISBLANK('MH01'!E32),ISERROR('MH01'!E32)),"",'MH01'!E32)</f>
        <v/>
      </c>
      <c r="F30" s="148" t="str">
        <f>IF(OR(ISBLANK('MH01'!F32),ISERROR('MH01'!F32)),"",'MH01'!F32)</f>
        <v/>
      </c>
      <c r="G30" s="57" t="str">
        <f>IF(OR(ISBLANK('MH01'!G32),ISERROR('MH01'!G32)),"",'MH01'!G32)</f>
        <v/>
      </c>
      <c r="H30" s="57" t="str">
        <f>IF(OR(ISBLANK('MH01'!H32),ISERROR('MH01'!H32)),"",'MH01'!H32)</f>
        <v/>
      </c>
      <c r="I30" s="147" t="str">
        <f>IF(OR(ISBLANK('MH01'!I32),ISERROR('MH01'!I32)),"",'MH01'!I32)</f>
        <v/>
      </c>
      <c r="J30" s="147" t="str">
        <f>IF(OR(ISBLANK('MH01'!L32),ISERROR('MH01'!L32)),"",'MH01'!L32)</f>
        <v/>
      </c>
      <c r="K30" s="149" t="str">
        <f>IF(OR(ISBLANK('MH01'!M32),ISERROR('MH01'!M32)),"",'MH01'!M32)</f>
        <v/>
      </c>
      <c r="L30" s="53"/>
      <c r="O30" s="4"/>
      <c r="P30" s="4"/>
      <c r="Q30" s="4"/>
      <c r="R30" s="4"/>
      <c r="S30" s="4" t="str">
        <f>IF(OR(ISBLANK('MH01'!U32),ISERROR('MH01'!U32)),"",'MH01'!U32)</f>
        <v/>
      </c>
      <c r="T30" s="4" t="str">
        <f>IF(OR(ISBLANK('MH01'!V32),ISERROR('MH01'!V32)),"",'MH01'!V32)</f>
        <v/>
      </c>
      <c r="AB30" s="61"/>
    </row>
    <row r="31" spans="1:28" ht="12.75" customHeight="1" thickBot="1" x14ac:dyDescent="0.25">
      <c r="B31" s="792">
        <f>IF(OR(ISBLANK('MH01'!B33),ISERROR('MH01'!B33)),"",'MH01'!B33)</f>
        <v>3</v>
      </c>
      <c r="C31" s="146" t="str">
        <f>IF(OR(ISBLANK('MH01'!C33),ISERROR('MH01'!C33)),"",'MH01'!C33)</f>
        <v>Test de Independencia</v>
      </c>
      <c r="D31" s="146"/>
      <c r="E31" s="62" t="str">
        <f>IF(OR(ISBLANK('MH01'!E33),ISERROR('MH01'!E33)),"",'MH01'!E33)</f>
        <v/>
      </c>
      <c r="F31" s="62" t="str">
        <f>IF(OR(ISBLANK('MH01'!F33),ISERROR('MH01'!F33)),"",'MH01'!F33)</f>
        <v/>
      </c>
      <c r="G31" s="38" t="str">
        <f>IF(OR(ISBLANK('MH01'!G33),ISERROR('MH01'!G33)),"",'MH01'!G33)</f>
        <v/>
      </c>
      <c r="H31" s="38" t="str">
        <f>IF(OR(ISBLANK('MH01'!H33),ISERROR('MH01'!H33)),"",'MH01'!H33)</f>
        <v/>
      </c>
      <c r="I31" s="63" t="str">
        <f>IF(OR(ISBLANK('MH01'!I33),ISERROR('MH01'!I33)),"",'MH01'!I33)</f>
        <v/>
      </c>
      <c r="J31" s="63" t="str">
        <f>IF(OR(ISBLANK('MH01'!L33),ISERROR('MH01'!L33)),"",'MH01'!L33)</f>
        <v/>
      </c>
      <c r="K31" s="64" t="str">
        <f>IF(OR(ISBLANK('MH01'!M33),ISERROR('MH01'!M33)),"",'MH01'!M33)</f>
        <v/>
      </c>
      <c r="L31" s="65"/>
      <c r="M31" s="66"/>
      <c r="N31" s="66"/>
      <c r="O31" s="173"/>
      <c r="P31" s="173"/>
      <c r="Q31" s="4"/>
      <c r="R31" s="4"/>
      <c r="S31" s="4"/>
      <c r="T31" s="4"/>
      <c r="AB31" s="61"/>
    </row>
    <row r="32" spans="1:28" ht="12.75" customHeight="1" x14ac:dyDescent="0.2">
      <c r="B32" s="43"/>
      <c r="C32" s="54" t="str">
        <f>IF(OR(ISBLANK('MH01'!C36),ISERROR('MH01'!C36)),"",'MH01'!C36)</f>
        <v/>
      </c>
      <c r="D32" s="34"/>
      <c r="E32" s="148"/>
      <c r="F32" s="148"/>
      <c r="G32" s="57"/>
      <c r="H32" s="57"/>
      <c r="I32" s="147"/>
      <c r="J32" s="147"/>
      <c r="K32" s="149"/>
      <c r="L32" s="53"/>
      <c r="O32" s="4"/>
      <c r="P32" s="4"/>
      <c r="Q32" s="4"/>
      <c r="R32" s="4"/>
      <c r="S32" s="4"/>
      <c r="T32" s="4"/>
      <c r="AB32" s="61"/>
    </row>
    <row r="33" spans="1:28" ht="15" customHeight="1" x14ac:dyDescent="0.2">
      <c r="A33" s="25" t="str">
        <f>IF(OR(ISBLANK('MH01'!A33),ISERROR('MH01'!A33)),"",'MH01'!A33)</f>
        <v/>
      </c>
      <c r="B33" s="25"/>
      <c r="D33" s="54"/>
      <c r="E33" s="332" t="str">
        <f>IF(OR(ISBLANK(Fisher!C24),ISERROR(Fisher!C24)),"",Fisher!C24)</f>
        <v>P1 (p1&gt;p2)</v>
      </c>
      <c r="F33" s="332" t="str">
        <f>IF(OR(ISBLANK(Fisher!D24),ISERROR(Fisher!D24)),"",Fisher!D24)</f>
        <v>P1 (p1&lt;p2)</v>
      </c>
      <c r="G33" s="332" t="str">
        <f>IF(OR(ISBLANK(Fisher!E24),ISERROR(Fisher!E24)),"",Fisher!E24)</f>
        <v>P2</v>
      </c>
      <c r="H33" s="140" t="str">
        <f>IF(OR(ISBLANK(Fisher!F21),ISERROR(Fisher!F21)),"",Fisher!F21)</f>
        <v/>
      </c>
      <c r="I33" s="140"/>
      <c r="J33" s="140"/>
      <c r="K33" s="140"/>
      <c r="Q33" s="4"/>
      <c r="R33" s="4"/>
      <c r="S33" s="4" t="str">
        <f>IF(OR(ISBLANK('MH01'!U33),ISERROR('MH01'!U33)),"",'MH01'!U33)</f>
        <v/>
      </c>
      <c r="T33" s="4" t="str">
        <f>IF(OR(ISBLANK('MH01'!V33),ISERROR('MH01'!V33)),"",'MH01'!V33)</f>
        <v/>
      </c>
      <c r="AB33" s="61"/>
    </row>
    <row r="34" spans="1:28" ht="12.75" customHeight="1" x14ac:dyDescent="0.2">
      <c r="A34" s="25" t="str">
        <f>IF(OR(ISBLANK('MH01'!A34),ISERROR('MH01'!A34)),"",'MH01'!A34)</f>
        <v/>
      </c>
      <c r="B34" s="74" t="s">
        <v>16</v>
      </c>
      <c r="C34" s="331" t="str">
        <f>IF(OR(ISBLANK(Fisher!B23),ISERROR(Fisher!B23)),"",Fisher!B23)</f>
        <v>Test exacto de Fisher</v>
      </c>
      <c r="E34" s="337" t="str">
        <f>IF(OR(ISBLANK(Fisher!C25),ISERROR(Fisher!C25)),"",Fisher!C25)</f>
        <v>-</v>
      </c>
      <c r="F34" s="337" t="str">
        <f>IF(OR(ISBLANK(Fisher!D25),ISERROR(Fisher!D25)),"",Fisher!D25)</f>
        <v/>
      </c>
      <c r="G34" s="337" t="str">
        <f>IF(OR(ISBLANK(Fisher!E25),ISERROR(Fisher!E25)),"",Fisher!E25)</f>
        <v>-</v>
      </c>
      <c r="J34" s="335"/>
      <c r="K34" s="90"/>
      <c r="L34" s="68" t="str">
        <f>IF(OR(ISBLANK('MH01'!N34),ISERROR('MH01'!N34)),"",'MH01'!N34)</f>
        <v/>
      </c>
      <c r="M34" s="25" t="str">
        <f>IF(OR(ISBLANK('MH01'!O34),ISERROR('MH01'!O34)),"",'MH01'!O34)</f>
        <v/>
      </c>
      <c r="N34" s="25" t="str">
        <f>IF(OR(ISBLANK('MH01'!P34),ISERROR('MH01'!P34)),"",'MH01'!P34)</f>
        <v/>
      </c>
      <c r="O34" s="4"/>
      <c r="P34" s="4"/>
      <c r="Q34" s="4"/>
      <c r="R34" s="4" t="str">
        <f>IF(OR(ISBLANK('MH01'!T34),ISERROR('MH01'!T34)),"",'MH01'!T34)</f>
        <v/>
      </c>
      <c r="S34" s="4" t="str">
        <f>IF(OR(ISBLANK('MH01'!U34),ISERROR('MH01'!U34)),"",'MH01'!U34)</f>
        <v/>
      </c>
      <c r="T34" s="4" t="str">
        <f>IF(OR(ISBLANK('MH01'!V34),ISERROR('MH01'!V34)),"",'MH01'!V34)</f>
        <v/>
      </c>
      <c r="AB34" s="61"/>
    </row>
    <row r="35" spans="1:28" ht="12.75" customHeight="1" x14ac:dyDescent="0.2">
      <c r="A35" s="25" t="str">
        <f>IF(OR(ISBLANK('MH01'!A35),ISERROR('MH01'!A35)),"",'MH01'!A35)</f>
        <v/>
      </c>
      <c r="B35" s="333" t="str">
        <f>IF(OR(ISBLANK('MH01'!B35),ISERROR('MH01'!B35)),"",'MH01'!B35)</f>
        <v/>
      </c>
      <c r="E35" s="336"/>
      <c r="F35" s="335"/>
      <c r="G35" s="140"/>
      <c r="H35" s="282"/>
      <c r="J35" s="25" t="str">
        <f>IF(OR(ISBLANK('MH01'!L35),ISERROR('MH01'!L35)),"",'MH01'!L35)</f>
        <v/>
      </c>
      <c r="K35" s="25" t="str">
        <f>IF(OR(ISBLANK('MH01'!M35),ISERROR('MH01'!M35)),"",'MH01'!M35)</f>
        <v/>
      </c>
      <c r="L35" s="25" t="str">
        <f>IF(OR(ISBLANK('MH01'!N35),ISERROR('MH01'!N35)),"",'MH01'!N35)</f>
        <v/>
      </c>
      <c r="M35" s="25" t="str">
        <f>IF(OR(ISBLANK('MH01'!O35),ISERROR('MH01'!O35)),"",'MH01'!O35)</f>
        <v/>
      </c>
      <c r="N35" s="25" t="str">
        <f>IF(OR(ISBLANK('MH01'!P35),ISERROR('MH01'!P35)),"",'MH01'!P35)</f>
        <v/>
      </c>
      <c r="O35" s="4"/>
      <c r="P35" s="4"/>
      <c r="Q35" s="4"/>
      <c r="R35" s="4" t="str">
        <f>IF(OR(ISBLANK('MH01'!T35),ISERROR('MH01'!T35)),"",'MH01'!T35)</f>
        <v/>
      </c>
      <c r="S35" s="4" t="str">
        <f>IF(OR(ISBLANK('MH01'!U35),ISERROR('MH01'!U35)),"",'MH01'!U35)</f>
        <v>Resultado del test</v>
      </c>
      <c r="T35" s="4" t="str">
        <f>IF(OR(ISBLANK('MH01'!V35),ISERROR('MH01'!V35)),"",'MH01'!V35)</f>
        <v/>
      </c>
      <c r="AB35" s="61"/>
    </row>
    <row r="36" spans="1:28" ht="12.75" customHeight="1" x14ac:dyDescent="0.2">
      <c r="B36" s="333"/>
      <c r="G36" s="27"/>
      <c r="H36" s="282"/>
      <c r="O36" s="4"/>
      <c r="P36" s="4"/>
      <c r="Q36" s="4"/>
      <c r="R36" s="4"/>
      <c r="S36" s="4"/>
      <c r="T36" s="4"/>
      <c r="AB36" s="61"/>
    </row>
    <row r="37" spans="1:28" ht="12.75" customHeight="1" x14ac:dyDescent="0.2">
      <c r="A37" s="25" t="str">
        <f>IF(OR(ISBLANK('MH01'!A38),ISERROR('MH01'!A38)),"",'MH01'!A38)</f>
        <v/>
      </c>
      <c r="B37" s="74" t="s">
        <v>16</v>
      </c>
      <c r="C37" s="334" t="s">
        <v>143</v>
      </c>
      <c r="D37" s="121" t="str">
        <f>IF(OR(ISBLANK('MH01'!D38),ISERROR('MH01'!D38)),"",'MH01'!D38)</f>
        <v xml:space="preserve">    Situación</v>
      </c>
      <c r="E37" s="99" t="str">
        <f>IF(OR(ISBLANK('MH01'!E38),ISERROR('MH01'!E38)),"",'MH01'!E38)</f>
        <v/>
      </c>
      <c r="F37" s="153" t="str">
        <f>IF(OR(ISBLANK('MH01'!F38),ISERROR('MH01'!F38)),"",'MH01'!F38)</f>
        <v>Significación</v>
      </c>
      <c r="G37" s="153" t="str">
        <f>IF(OR(ISBLANK('MH01'!G38),ISERROR('MH01'!G38)),"",'MH01'!G38)</f>
        <v/>
      </c>
      <c r="H37" s="153" t="str">
        <f>IF(OR(ISBLANK('MH01'!H38),ISERROR('MH01'!H38)),"",'MH01'!H38)</f>
        <v/>
      </c>
      <c r="I37" s="153" t="str">
        <f>IF(OR(ISBLANK('MH01'!I38),ISERROR('MH01'!I38)),"",'MH01'!I38)</f>
        <v/>
      </c>
      <c r="J37" s="99" t="str">
        <f>IF(OR(ISBLANK('MH01'!L38),ISERROR('MH01'!L38)),"",'MH01'!L38)</f>
        <v/>
      </c>
      <c r="K37" s="27"/>
      <c r="L37" s="25" t="str">
        <f>IF(OR(ISBLANK('MH01'!N38),ISERROR('MH01'!N38)),"",'MH01'!N38)</f>
        <v/>
      </c>
      <c r="M37" s="25" t="str">
        <f>IF(OR(ISBLANK('MH01'!O38),ISERROR('MH01'!O38)),"",'MH01'!O38)</f>
        <v/>
      </c>
      <c r="N37" s="25" t="str">
        <f>IF(OR(ISBLANK('MH01'!P38),ISERROR('MH01'!P38)),"",'MH01'!P38)</f>
        <v/>
      </c>
      <c r="O37" s="4" t="str">
        <f>IF(OR(ISBLANK('MH01'!Q38),ISERROR('MH01'!Q38)),"",'MH01'!Q38)</f>
        <v/>
      </c>
      <c r="P37" s="4" t="str">
        <f>IF(OR(ISBLANK('MH01'!R38),ISERROR('MH01'!R38)),"",'MH01'!R38)</f>
        <v/>
      </c>
      <c r="Q37" s="4" t="str">
        <f>IF(OR(ISBLANK('MH01'!S38),ISERROR('MH01'!S38)),"",'MH01'!S38)</f>
        <v/>
      </c>
      <c r="R37" s="4" t="str">
        <f>IF(OR(ISBLANK('MH01'!T38),ISERROR('MH01'!T38)),"",'MH01'!T38)</f>
        <v/>
      </c>
      <c r="S37" s="4" t="str">
        <f>IF(OR(ISBLANK('MH01'!U38),ISERROR('MH01'!U38)),"",'MH01'!U38)</f>
        <v xml:space="preserve"> (Asociación significativa)</v>
      </c>
      <c r="T37" s="4">
        <f>IF(OR(ISBLANK('MH01'!V38),ISERROR('MH01'!V38)),"",'MH01'!V38)</f>
        <v>3</v>
      </c>
      <c r="AB37" s="61"/>
    </row>
    <row r="38" spans="1:28" ht="12.75" customHeight="1" x14ac:dyDescent="0.2">
      <c r="A38" s="25" t="str">
        <f>IF(OR(ISBLANK('MH01'!A39),ISERROR('MH01'!A39)),"",'MH01'!A39)</f>
        <v/>
      </c>
      <c r="B38" s="139" t="str">
        <f>IF(OR(ISBLANK('MH01'!B39),ISERROR('MH01'!B39)),"",'MH01'!B39)</f>
        <v/>
      </c>
      <c r="C38" s="158">
        <f>IF(OR(ISBLANK('MH01'!C39),ISERROR('MH01'!C39)),"",'MH01'!C39)</f>
        <v>54.64927574189096</v>
      </c>
      <c r="D38" s="77" t="str">
        <f>IF(OR(ISBLANK('MH01'!D39),ISERROR('MH01'!D39)),"",'MH01'!D39)</f>
        <v xml:space="preserve"> -- Estudio transversal</v>
      </c>
      <c r="E38" s="77"/>
      <c r="F38" s="154">
        <f>IF(OR(ISBLANK('MH01'!F39),ISERROR('MH01'!F39)),"",'MH01'!F39)</f>
        <v>1.4407740751515328E-13</v>
      </c>
      <c r="G38" s="78" t="str">
        <f>IF(OR(ISBLANK('MH01'!G39),ISERROR('MH01'!G39)),"",'MH01'!G39)</f>
        <v xml:space="preserve"> (Asociación significativa)</v>
      </c>
      <c r="K38" s="27"/>
      <c r="L38" s="25" t="str">
        <f>IF(OR(ISBLANK('MH01'!N39),ISERROR('MH01'!N39)),"",'MH01'!N39)</f>
        <v/>
      </c>
      <c r="M38" s="25" t="str">
        <f>IF(OR(ISBLANK('MH01'!O39),ISERROR('MH01'!O39)),"",'MH01'!O39)</f>
        <v/>
      </c>
      <c r="N38" s="25" t="str">
        <f>IF(OR(ISBLANK('MH01'!P39),ISERROR('MH01'!P39)),"",'MH01'!P39)</f>
        <v/>
      </c>
      <c r="O38" s="4" t="str">
        <f>IF(OR(ISBLANK('MH01'!Q39),ISERROR('MH01'!Q39)),"",'MH01'!Q39)</f>
        <v/>
      </c>
      <c r="P38" s="4" t="str">
        <f>IF(OR(ISBLANK('MH01'!R39),ISERROR('MH01'!R39)),"",'MH01'!R39)</f>
        <v/>
      </c>
      <c r="Q38" s="4" t="str">
        <f>IF(OR(ISBLANK('MH01'!S39),ISERROR('MH01'!S39)),"",'MH01'!S39)</f>
        <v/>
      </c>
      <c r="R38" s="4" t="str">
        <f>IF(OR(ISBLANK('MH01'!T39),ISERROR('MH01'!T39)),"",'MH01'!T39)</f>
        <v/>
      </c>
      <c r="S38" s="4" t="str">
        <f>IF(OR(ISBLANK('MH01'!V48),ISERROR('MH01'!V48)),"",'MH01'!V48)</f>
        <v>No</v>
      </c>
      <c r="T38" s="4" t="str">
        <f>IF(OR(ISBLANK('MH01'!V39),ISERROR('MH01'!V39)),"",'MH01'!V39)</f>
        <v/>
      </c>
      <c r="AB38" s="61"/>
    </row>
    <row r="39" spans="1:28" ht="12.75" customHeight="1" x14ac:dyDescent="0.2">
      <c r="A39" s="25" t="str">
        <f>IF(OR(ISBLANK('MH01'!A40),ISERROR('MH01'!A40)),"",'MH01'!A40)</f>
        <v/>
      </c>
      <c r="B39" s="139" t="str">
        <f>IF(OR(ISBLANK('MH01'!B40),ISERROR('MH01'!B40)),"",'MH01'!B40)</f>
        <v/>
      </c>
      <c r="C39" s="159">
        <f>IF(OR(ISBLANK('MH01'!C40),ISERROR('MH01'!C40)),"",'MH01'!C40)</f>
        <v>54.640167149758454</v>
      </c>
      <c r="D39" s="77" t="str">
        <f>IF(OR(ISBLANK('MH01'!D40),ISERROR('MH01'!D40)),"",'MH01'!D40)</f>
        <v xml:space="preserve"> -- Estudio prospectivo</v>
      </c>
      <c r="E39" s="77"/>
      <c r="F39" s="154">
        <f>IF(OR(ISBLANK('MH01'!F40),ISERROR('MH01'!F40)),"",'MH01'!F40)</f>
        <v>1.447467326097319E-13</v>
      </c>
      <c r="G39" s="78" t="str">
        <f>IF(OR(ISBLANK('MH01'!G40),ISERROR('MH01'!G40)),"",'MH01'!G40)</f>
        <v/>
      </c>
      <c r="K39" s="27"/>
      <c r="L39" s="27" t="str">
        <f>IF(OR(ISBLANK('MH01'!N40),ISERROR('MH01'!N40)),"",'MH01'!N40)</f>
        <v/>
      </c>
      <c r="M39" s="25" t="str">
        <f>IF(OR(ISBLANK('MH01'!O40),ISERROR('MH01'!O40)),"",'MH01'!O40)</f>
        <v/>
      </c>
      <c r="N39" s="25" t="str">
        <f>IF(OR(ISBLANK('MH01'!P40),ISERROR('MH01'!P40)),"",'MH01'!P40)</f>
        <v/>
      </c>
      <c r="O39" s="4" t="str">
        <f>IF(OR(ISBLANK('MH01'!Q40),ISERROR('MH01'!Q40)),"",'MH01'!Q40)</f>
        <v/>
      </c>
      <c r="P39" s="4" t="str">
        <f>IF(OR(ISBLANK('MH01'!R40),ISERROR('MH01'!R40)),"",'MH01'!R40)</f>
        <v/>
      </c>
      <c r="Q39" s="4" t="str">
        <f>IF(OR(ISBLANK('MH01'!S40),ISERROR('MH01'!S40)),"",'MH01'!S40)</f>
        <v/>
      </c>
      <c r="R39" s="4" t="str">
        <f>IF(OR(ISBLANK('MH01'!T40),ISERROR('MH01'!T40)),"",'MH01'!T40)</f>
        <v/>
      </c>
      <c r="S39" s="4" t="str">
        <f>IF(OR(ISBLANK('MH01'!V49),ISERROR('MH01'!V49)),"",'MH01'!V49)</f>
        <v>Si</v>
      </c>
      <c r="T39" s="4" t="str">
        <f>IF(OR(ISBLANK('MH01'!V40),ISERROR('MH01'!V40)),"",'MH01'!V40)</f>
        <v/>
      </c>
      <c r="AB39" s="61"/>
    </row>
    <row r="40" spans="1:28" ht="12.75" customHeight="1" x14ac:dyDescent="0.2">
      <c r="A40" s="25" t="str">
        <f>IF(OR(ISBLANK('MH01'!A41),ISERROR('MH01'!A41)),"",'MH01'!A41)</f>
        <v/>
      </c>
      <c r="B40" s="145" t="str">
        <f>IF(OR(ISBLANK('MH01'!B41),ISERROR('MH01'!B41)),"",'MH01'!B41)</f>
        <v/>
      </c>
      <c r="C40" s="159">
        <f>IF(OR(ISBLANK('MH01'!C41),ISERROR('MH01'!C41)),"",'MH01'!C41)</f>
        <v>54.640167149758454</v>
      </c>
      <c r="D40" s="77" t="str">
        <f>IF(OR(ISBLANK('MH01'!D41),ISERROR('MH01'!D41)),"",'MH01'!D41)</f>
        <v xml:space="preserve"> -- Estudio retrospectivo</v>
      </c>
      <c r="E40" s="77"/>
      <c r="F40" s="154">
        <f>IF(OR(ISBLANK('MH01'!F41),ISERROR('MH01'!F41)),"",'MH01'!F41)</f>
        <v>1.447467326097319E-13</v>
      </c>
      <c r="G40" s="78" t="str">
        <f>IF(OR(ISBLANK('MH01'!G41),ISERROR('MH01'!G41)),"",'MH01'!G41)</f>
        <v/>
      </c>
      <c r="K40" s="27"/>
      <c r="L40" s="27" t="str">
        <f>IF(OR(ISBLANK('MH01'!N41),ISERROR('MH01'!N41)),"",'MH01'!N41)</f>
        <v/>
      </c>
      <c r="M40" s="25" t="str">
        <f>IF(OR(ISBLANK('MH01'!O41),ISERROR('MH01'!O41)),"",'MH01'!O41)</f>
        <v/>
      </c>
      <c r="N40" s="25" t="str">
        <f>IF(OR(ISBLANK('MH01'!P41),ISERROR('MH01'!P41)),"",'MH01'!P41)</f>
        <v/>
      </c>
      <c r="O40" s="4" t="str">
        <f>IF(OR(ISBLANK('MH01'!Q41),ISERROR('MH01'!Q41)),"",'MH01'!Q41)</f>
        <v/>
      </c>
      <c r="P40" s="4" t="str">
        <f>IF(OR(ISBLANK('MH01'!R41),ISERROR('MH01'!R41)),"",'MH01'!R41)</f>
        <v/>
      </c>
      <c r="Q40" s="4" t="str">
        <f>IF(OR(ISBLANK('MH01'!S41),ISERROR('MH01'!S41)),"",'MH01'!S41)</f>
        <v/>
      </c>
      <c r="R40" s="4" t="str">
        <f>IF(OR(ISBLANK('MH01'!T41),ISERROR('MH01'!T41)),"",'MH01'!T41)</f>
        <v/>
      </c>
      <c r="S40" s="4" t="str">
        <f>IF(OR(ISBLANK('MH01'!U41),ISERROR('MH01'!U41)),"",'MH01'!U41)</f>
        <v>Tipo de estudio</v>
      </c>
      <c r="T40" s="4">
        <f>IF(OR(ISBLANK('MH01'!V41),ISERROR('MH01'!V41)),"",'MH01'!V41)</f>
        <v>1</v>
      </c>
      <c r="AB40" s="61"/>
    </row>
    <row r="41" spans="1:28" ht="5.25" customHeight="1" x14ac:dyDescent="0.2">
      <c r="A41" s="25" t="str">
        <f>IF(OR(ISBLANK('MH01'!A42),ISERROR('MH01'!A42)),"",'MH01'!A42)</f>
        <v/>
      </c>
      <c r="B41" s="144" t="str">
        <f>IF(OR(ISBLANK('MH01'!B42),ISERROR('MH01'!B42)),"",'MH01'!B42)</f>
        <v/>
      </c>
      <c r="C41" s="160" t="str">
        <f>IF(OR(ISBLANK('MH01'!C42),ISERROR('MH01'!C42)),"",'MH01'!C42)</f>
        <v/>
      </c>
      <c r="D41" s="27" t="str">
        <f>IF(OR(ISBLANK('MH01'!D42),ISERROR('MH01'!D42)),"",'MH01'!D42)</f>
        <v/>
      </c>
      <c r="E41" s="27"/>
      <c r="F41" s="139" t="str">
        <f>IF(OR(ISBLANK('MH01'!F42),ISERROR('MH01'!F42)),"",'MH01'!F42)</f>
        <v/>
      </c>
      <c r="G41" s="27" t="str">
        <f>IF(OR(ISBLANK('MH01'!G42),ISERROR('MH01'!G42)),"",'MH01'!G42)</f>
        <v/>
      </c>
      <c r="K41" s="27" t="str">
        <f>IF(OR(ISBLANK('MH01'!M42),ISERROR('MH01'!M42)),"",'MH01'!M42)</f>
        <v/>
      </c>
      <c r="L41" s="27" t="str">
        <f>IF(OR(ISBLANK('MH01'!N42),ISERROR('MH01'!N42)),"",'MH01'!N42)</f>
        <v/>
      </c>
      <c r="M41" s="25" t="str">
        <f>IF(OR(ISBLANK('MH01'!O42),ISERROR('MH01'!O42)),"",'MH01'!O42)</f>
        <v/>
      </c>
      <c r="N41" s="25" t="str">
        <f>IF(OR(ISBLANK('MH01'!P42),ISERROR('MH01'!P42)),"",'MH01'!P42)</f>
        <v/>
      </c>
      <c r="O41" s="4" t="str">
        <f>IF(OR(ISBLANK('MH01'!Q42),ISERROR('MH01'!Q42)),"",'MH01'!Q42)</f>
        <v/>
      </c>
      <c r="P41" s="4" t="str">
        <f>IF(OR(ISBLANK('MH01'!R42),ISERROR('MH01'!R42)),"",'MH01'!R42)</f>
        <v/>
      </c>
      <c r="Q41" s="4" t="str">
        <f>IF(OR(ISBLANK('MH01'!S42),ISERROR('MH01'!S42)),"",'MH01'!S42)</f>
        <v/>
      </c>
      <c r="R41" s="4" t="str">
        <f>IF(OR(ISBLANK('MH01'!T42),ISERROR('MH01'!T42)),"",'MH01'!T42)</f>
        <v/>
      </c>
      <c r="S41" s="4" t="str">
        <f>IF(OR(ISBLANK('MH01'!U42),ISERROR('MH01'!U42)),"",'MH01'!U42)</f>
        <v>Transversal</v>
      </c>
      <c r="T41" s="4" t="str">
        <f>IF(OR(ISBLANK('MH01'!V42),ISERROR('MH01'!V42)),"",'MH01'!V42)</f>
        <v>T</v>
      </c>
      <c r="AB41" s="61"/>
    </row>
    <row r="42" spans="1:28" ht="12.75" customHeight="1" x14ac:dyDescent="0.2">
      <c r="A42" s="25" t="str">
        <f>IF(OR(ISBLANK('MH01'!A43),ISERROR('MH01'!A43)),"",'MH01'!A43)</f>
        <v/>
      </c>
      <c r="B42" s="145" t="str">
        <f>IF(OR(ISBLANK('MH01'!B43),ISERROR('MH01'!B43)),"",'MH01'!B43)</f>
        <v/>
      </c>
      <c r="C42" s="161">
        <f>IF(OR(ISBLANK('MH01'!C43),ISERROR('MH01'!C43)),"",'MH01'!C43)</f>
        <v>54.658385093167702</v>
      </c>
      <c r="D42" s="156" t="str">
        <f>IF(OR(ISBLANK('MH01'!D43),ISERROR('MH01'!D43)),"",'MH01'!D43)</f>
        <v xml:space="preserve"> -- Sin cpc</v>
      </c>
      <c r="E42" s="44"/>
      <c r="F42" s="157">
        <f>IF(OR(ISBLANK('MH01'!F43),ISERROR('MH01'!F43)),"",'MH01'!F43)</f>
        <v>1.4341112392065926E-13</v>
      </c>
      <c r="G42" s="80" t="str">
        <f>IF(OR(ISBLANK('MH01'!G43),ISERROR('MH01'!G43)),"",'MH01'!G43)</f>
        <v/>
      </c>
      <c r="K42" s="27" t="str">
        <f>IF(OR(ISBLANK('MH01'!M43),ISERROR('MH01'!M43)),"",'MH01'!M43)</f>
        <v/>
      </c>
      <c r="L42" s="27" t="str">
        <f>IF(OR(ISBLANK('MH01'!N43),ISERROR('MH01'!N43)),"",'MH01'!N43)</f>
        <v/>
      </c>
      <c r="M42" s="25" t="str">
        <f>IF(OR(ISBLANK('MH01'!O43),ISERROR('MH01'!O43)),"",'MH01'!O43)</f>
        <v/>
      </c>
      <c r="N42" s="25" t="str">
        <f>IF(OR(ISBLANK('MH01'!P43),ISERROR('MH01'!P43)),"",'MH01'!P43)</f>
        <v/>
      </c>
      <c r="O42" s="4" t="str">
        <f>IF(OR(ISBLANK('MH01'!Q43),ISERROR('MH01'!Q43)),"",'MH01'!Q43)</f>
        <v/>
      </c>
      <c r="P42" s="4" t="str">
        <f>IF(OR(ISBLANK('MH01'!R43),ISERROR('MH01'!R43)),"",'MH01'!R43)</f>
        <v/>
      </c>
      <c r="Q42" s="4" t="str">
        <f>IF(OR(ISBLANK('MH01'!S43),ISERROR('MH01'!S43)),"",'MH01'!S43)</f>
        <v/>
      </c>
      <c r="R42" s="4" t="str">
        <f>IF(OR(ISBLANK('MH01'!T43),ISERROR('MH01'!T43)),"",'MH01'!T43)</f>
        <v/>
      </c>
      <c r="S42" s="4" t="str">
        <f>IF(OR(ISBLANK('MH01'!U43),ISERROR('MH01'!U43)),"",'MH01'!U43)</f>
        <v>Cvalidez</v>
      </c>
      <c r="T42" s="4">
        <f>IF(OR(ISBLANK('MH01'!V43),ISERROR('MH01'!V43)),"",'MH01'!V43)</f>
        <v>3.9</v>
      </c>
      <c r="AB42" s="61"/>
    </row>
    <row r="43" spans="1:28" x14ac:dyDescent="0.2">
      <c r="A43" s="25" t="str">
        <f>IF(OR(ISBLANK('MH01'!A44),ISERROR('MH01'!A44)),"",'MH01'!A44)</f>
        <v/>
      </c>
      <c r="B43" s="139" t="str">
        <f>IF(OR(ISBLANK('MH01'!B44),ISERROR('MH01'!B44)),"",'MH01'!B44)</f>
        <v/>
      </c>
      <c r="C43" s="162">
        <f>IF(OR(ISBLANK('MH01'!C44),ISERROR('MH01'!C44)),"",'MH01'!C44)</f>
        <v>52.672615596963425</v>
      </c>
      <c r="D43" s="163" t="str">
        <f>IF(OR(ISBLANK('MH01'!D44),ISERROR('MH01'!D44)),"",'MH01'!D44)</f>
        <v xml:space="preserve"> -- Correccion de Yates</v>
      </c>
      <c r="E43" s="155"/>
      <c r="F43" s="155">
        <f>IF(OR(ISBLANK('MH01'!F44),ISERROR('MH01'!F44)),"",'MH01'!F44)</f>
        <v>3.9404719874463828E-13</v>
      </c>
      <c r="G43" s="99" t="str">
        <f>IF(OR(ISBLANK('MH01'!G44),ISERROR('MH01'!G44)),"",'MH01'!G44)</f>
        <v/>
      </c>
      <c r="H43" s="99"/>
      <c r="I43" s="99"/>
      <c r="J43" s="99"/>
      <c r="K43" s="27" t="str">
        <f>IF(OR(ISBLANK('MH01'!M44),ISERROR('MH01'!M44)),"",'MH01'!M44)</f>
        <v/>
      </c>
      <c r="L43" s="27" t="str">
        <f>IF(OR(ISBLANK('MH01'!N44),ISERROR('MH01'!N44)),"",'MH01'!N44)</f>
        <v/>
      </c>
      <c r="M43" s="25" t="str">
        <f>IF(OR(ISBLANK('MH01'!O44),ISERROR('MH01'!O44)),"",'MH01'!O44)</f>
        <v/>
      </c>
      <c r="N43" s="25" t="str">
        <f>IF(OR(ISBLANK('MH01'!P44),ISERROR('MH01'!P44)),"",'MH01'!P44)</f>
        <v/>
      </c>
      <c r="O43" s="4" t="str">
        <f>IF(OR(ISBLANK('MH01'!Q44),ISERROR('MH01'!Q44)),"",'MH01'!Q44)</f>
        <v/>
      </c>
      <c r="P43" s="4" t="str">
        <f>IF(OR(ISBLANK('MH01'!R44),ISERROR('MH01'!R44)),"",'MH01'!R44)</f>
        <v/>
      </c>
      <c r="Q43" s="4" t="str">
        <f>IF(OR(ISBLANK('MH01'!S44),ISERROR('MH01'!S44)),"",'MH01'!S44)</f>
        <v/>
      </c>
      <c r="R43" s="4" t="str">
        <f>IF(OR(ISBLANK('MH01'!T44),ISERROR('MH01'!T44)),"",'MH01'!T44)</f>
        <v/>
      </c>
      <c r="S43" s="4">
        <f>IF(OR(ISBLANK('MH01'!U44),ISERROR('MH01'!U44)),"",'MH01'!U44)</f>
        <v>3.9</v>
      </c>
      <c r="T43" s="4">
        <f>IF(OR(ISBLANK('MH01'!V44),ISERROR('MH01'!V44)),"",'MH01'!V44)</f>
        <v>7.7</v>
      </c>
      <c r="AB43" s="61"/>
    </row>
    <row r="44" spans="1:28" x14ac:dyDescent="0.2">
      <c r="A44" s="25" t="str">
        <f>IF(OR(ISBLANK('MH01'!A45),ISERROR('MH01'!A45)),"",'MH01'!A45)</f>
        <v/>
      </c>
      <c r="B44" s="144" t="str">
        <f>IF(OR(ISBLANK('MH01'!B45),ISERROR('MH01'!B45)),"",'MH01'!B45)</f>
        <v/>
      </c>
      <c r="C44" s="26" t="str">
        <f>IF(OR(ISBLANK('MH01'!C35),ISERROR('MH01'!C35)),"",'MH01'!C35)</f>
        <v>Validez del test asintótico:</v>
      </c>
      <c r="E44" s="83" t="str">
        <f>IF(OR(ISBLANK('MH01'!D35),ISERROR('MH01'!D35)),"",'MH01'!D35)</f>
        <v>E = min(Eij) =</v>
      </c>
      <c r="F44" s="151">
        <f>IF(OR(ISBLANK('MH01'!E35),ISERROR('MH01'!E35)),"",'MH01'!E35)</f>
        <v>47.727272727272727</v>
      </c>
      <c r="G44" s="489" t="str">
        <f>IF(OR(ISBLANK('MH01'!F35),ISERROR('MH01'!F35)),"",'MH01'!F35)</f>
        <v>&gt;3,9</v>
      </c>
      <c r="H44" s="490" t="str">
        <f>IF(OR(ISBLANK('MH01'!G35),ISERROR('MH01'!G35)),"",'MH01'!G35)</f>
        <v xml:space="preserve"> (el test es válido)</v>
      </c>
      <c r="I44" s="75"/>
      <c r="K44" s="25" t="str">
        <f>IF(OR(ISBLANK('MH01'!M45),ISERROR('MH01'!M45)),"",'MH01'!M45)</f>
        <v/>
      </c>
      <c r="L44" s="27" t="str">
        <f>IF(OR(ISBLANK('MH01'!N45),ISERROR('MH01'!N45)),"",'MH01'!N45)</f>
        <v/>
      </c>
      <c r="M44" s="25" t="str">
        <f>IF(OR(ISBLANK('MH01'!O45),ISERROR('MH01'!O45)),"",'MH01'!O45)</f>
        <v/>
      </c>
      <c r="N44" s="25" t="str">
        <f>IF(OR(ISBLANK('MH01'!P45),ISERROR('MH01'!P45)),"",'MH01'!P45)</f>
        <v/>
      </c>
      <c r="O44" s="4" t="str">
        <f>IF(OR(ISBLANK('MH01'!Q45),ISERROR('MH01'!Q45)),"",'MH01'!Q45)</f>
        <v/>
      </c>
      <c r="P44" s="4" t="str">
        <f>IF(OR(ISBLANK('MH01'!R45),ISERROR('MH01'!R45)),"",'MH01'!R45)</f>
        <v/>
      </c>
      <c r="Q44" s="4" t="str">
        <f>IF(OR(ISBLANK('MH01'!S45),ISERROR('MH01'!S45)),"",'MH01'!S45)</f>
        <v/>
      </c>
      <c r="R44" s="4" t="str">
        <f>IF(OR(ISBLANK('MH01'!T45),ISERROR('MH01'!T45)),"",'MH01'!T45)</f>
        <v/>
      </c>
      <c r="S44" s="4" t="str">
        <f>IF(OR(ISBLANK('MH01'!U45),ISERROR('MH01'!U45)),"",'MH01'!U45)</f>
        <v/>
      </c>
      <c r="T44" s="4" t="str">
        <f>IF(OR(ISBLANK('MH01'!V45),ISERROR('MH01'!V45)),"",'MH01'!V45)</f>
        <v/>
      </c>
      <c r="AB44" s="61"/>
    </row>
    <row r="45" spans="1:28" x14ac:dyDescent="0.2">
      <c r="A45" s="25" t="str">
        <f>IF(OR(ISBLANK('MH01'!A46),ISERROR('MH01'!A46)),"",'MH01'!A46)</f>
        <v/>
      </c>
      <c r="B45" s="144" t="str">
        <f>IF(OR(ISBLANK('MH01'!B46),ISERROR('MH01'!B46)),"",'MH01'!B46)</f>
        <v/>
      </c>
      <c r="C45" s="25" t="str">
        <f>IF(OR(ISBLANK('MH01'!C46),ISERROR('MH01'!C46)),"",'MH01'!C46)</f>
        <v/>
      </c>
      <c r="D45" s="81" t="str">
        <f>IF(OR(ISBLANK('MH01'!D46),ISERROR('MH01'!D46)),"",'MH01'!D46)</f>
        <v/>
      </c>
      <c r="E45" s="25" t="str">
        <f>IF(OR(ISBLANK('MH01'!E46),ISERROR('MH01'!E46)),"",'MH01'!E46)</f>
        <v/>
      </c>
      <c r="F45" s="25" t="str">
        <f>IF(OR(ISBLANK('MH01'!F46),ISERROR('MH01'!F46)),"",'MH01'!F46)</f>
        <v/>
      </c>
      <c r="G45" s="82" t="str">
        <f>IF(OR(ISBLANK('MH01'!G46),ISERROR('MH01'!G46)),"",'MH01'!G46)</f>
        <v/>
      </c>
      <c r="H45" s="82" t="str">
        <f>IF(OR(ISBLANK('MH01'!H46),ISERROR('MH01'!H46)),"",'MH01'!H46)</f>
        <v/>
      </c>
      <c r="I45" s="25" t="str">
        <f>IF(OR(ISBLANK('MH01'!I46),ISERROR('MH01'!I46)),"",'MH01'!I46)</f>
        <v/>
      </c>
      <c r="J45" s="25" t="str">
        <f>IF(OR(ISBLANK('MH01'!L46),ISERROR('MH01'!L46)),"",'MH01'!L46)</f>
        <v/>
      </c>
      <c r="K45" s="25" t="str">
        <f>IF(OR(ISBLANK('MH01'!M46),ISERROR('MH01'!M46)),"",'MH01'!M46)</f>
        <v/>
      </c>
      <c r="L45" s="25" t="str">
        <f>IF(OR(ISBLANK('MH01'!N46),ISERROR('MH01'!N46)),"",'MH01'!N46)</f>
        <v/>
      </c>
      <c r="M45" s="25" t="str">
        <f>IF(OR(ISBLANK('MH01'!O46),ISERROR('MH01'!O46)),"",'MH01'!O46)</f>
        <v/>
      </c>
      <c r="O45" s="4"/>
      <c r="P45" s="4"/>
      <c r="Q45" s="4"/>
      <c r="R45" s="4"/>
      <c r="S45" s="4" t="str">
        <f>IF(OR(ISBLANK('MH01'!U46),ISERROR('MH01'!U46)),"",'MH01'!U46)</f>
        <v/>
      </c>
      <c r="T45" s="4" t="str">
        <f>IF(OR(ISBLANK('MH01'!V46),ISERROR('MH01'!V46)),"",'MH01'!V46)</f>
        <v/>
      </c>
      <c r="AB45" s="61"/>
    </row>
    <row r="46" spans="1:28" ht="13.5" thickBot="1" x14ac:dyDescent="0.25">
      <c r="A46" s="25" t="str">
        <f>IF(OR(ISBLANK('MH01'!A47),ISERROR('MH01'!A47)),"",'MH01'!A47)</f>
        <v/>
      </c>
      <c r="B46" s="792">
        <f>IF(OR(ISBLANK('MH01'!B47),ISERROR('MH01'!B47)),"",'MH01'!B47)</f>
        <v>4</v>
      </c>
      <c r="C46" s="84" t="str">
        <f>IF(OR(ISBLANK('MH01'!C47),ISERROR('MH01'!C47)),"",'MH01'!C47)</f>
        <v>Medidas de asociación</v>
      </c>
      <c r="D46" s="66"/>
      <c r="E46" s="66" t="str">
        <f>IF(OR(ISBLANK('MH01'!E47),ISERROR('MH01'!E47)),"",'MH01'!E47)</f>
        <v/>
      </c>
      <c r="F46" s="1308" t="str">
        <f>IF(OR(ISBLANK('MH01'!F47),ISERROR('MH01'!F47)),"",'MH01'!F47)</f>
        <v/>
      </c>
      <c r="G46" s="1308" t="str">
        <f>IF(OR(ISBLANK('MH01'!G47),ISERROR('MH01'!G47)),"",'MH01'!G47)</f>
        <v/>
      </c>
      <c r="H46" s="1308" t="str">
        <f>IF(OR(ISBLANK('MH01'!H47),ISERROR('MH01'!H47)),"",'MH01'!H47)</f>
        <v/>
      </c>
      <c r="I46" s="1308" t="str">
        <f>IF(OR(ISBLANK('MH01'!I47),ISERROR('MH01'!I47)),"",'MH01'!I47)</f>
        <v/>
      </c>
      <c r="J46" s="1308" t="str">
        <f>IF(OR(ISBLANK('MH01'!L47),ISERROR('MH01'!L47)),"",'MH01'!L47)</f>
        <v/>
      </c>
      <c r="K46" s="84" t="str">
        <f>IF(OR(ISBLANK('MH01'!M47),ISERROR('MH01'!M47)),"",'MH01'!M47)</f>
        <v/>
      </c>
      <c r="L46" s="66"/>
      <c r="M46" s="66" t="str">
        <f>IF(OR(ISBLANK('MH01'!O47),ISERROR('MH01'!O47)),"",'MH01'!O47)</f>
        <v/>
      </c>
      <c r="N46" s="66"/>
      <c r="O46" s="66"/>
      <c r="P46" s="66"/>
      <c r="S46" s="25" t="str">
        <f>IF(OR(ISBLANK('MH01'!V47),ISERROR('MH01'!V47)),"",'MH01'!V47)</f>
        <v>Mensaje de validez</v>
      </c>
      <c r="T46" s="25" t="str">
        <f>IF(OR(ISBLANK('MH01'!#REF!),ISERROR('MH01'!#REF!)),"",'MH01'!#REF!)</f>
        <v/>
      </c>
      <c r="AB46" s="61"/>
    </row>
    <row r="47" spans="1:28" ht="21.75" customHeight="1" x14ac:dyDescent="0.2">
      <c r="A47" s="25" t="str">
        <f>IF(OR(ISBLANK('MH01'!A48),ISERROR('MH01'!A48)),"",'MH01'!A48)</f>
        <v/>
      </c>
      <c r="B47" s="139" t="str">
        <f>IF(OR(ISBLANK('MH01'!B48),ISERROR('MH01'!B48)),"",'MH01'!B48)</f>
        <v/>
      </c>
      <c r="C47" s="77" t="str">
        <f>IF(OR(ISBLANK('MH01'!C48),ISERROR('MH01'!C48)),"",'MH01'!C48)</f>
        <v/>
      </c>
      <c r="D47" s="77" t="str">
        <f>IF(OR(ISBLANK('MH01'!D48),ISERROR('MH01'!D48)),"",'MH01'!D48)</f>
        <v/>
      </c>
      <c r="E47" s="189" t="str">
        <f>IF(OR(ISBLANK('MH01'!E49),ISERROR('MH01'!E49)),"",'MH01'!E49)</f>
        <v>Estimador</v>
      </c>
      <c r="F47" s="189" t="str">
        <f>IF(OR(ISBLANK('MH01'!F49),ISERROR('MH01'!F49)),"",'MH01'!F49)</f>
        <v>SE</v>
      </c>
      <c r="G47" s="189" t="str">
        <f>IF(OR(ISBLANK('MH01'!G49),ISERROR('MH01'!G49)),"",'MH01'!G49)</f>
        <v>Lim Inf</v>
      </c>
      <c r="H47" s="338"/>
      <c r="I47" s="189" t="str">
        <f>IF(OR(ISBLANK('MH01'!H49),ISERROR('MH01'!H49)),"",'MH01'!H49)</f>
        <v>Lim sup</v>
      </c>
      <c r="J47" s="472" t="str">
        <f>IF(OR(ISBLANK('MH01'!I49),ISERROR('MH01'!I49)),"",'MH01'!I49)</f>
        <v>Validez</v>
      </c>
      <c r="K47" s="27" t="str">
        <f>IF(OR(ISBLANK('MH01'!N48),ISERROR('MH01'!N48)),"",'MH01'!N48)</f>
        <v/>
      </c>
      <c r="L47" s="27" t="str">
        <f>IF(OR(ISBLANK('MH01'!O48),ISERROR('MH01'!O48)),"",'MH01'!O48)</f>
        <v/>
      </c>
      <c r="M47" s="27" t="str">
        <f>IF(OR(ISBLANK('MH01'!P48),ISERROR('MH01'!P48)),"",'MH01'!P48)</f>
        <v/>
      </c>
      <c r="N47" s="27"/>
      <c r="O47" s="27"/>
      <c r="P47" s="27"/>
      <c r="Q47" s="4"/>
      <c r="R47" s="4"/>
      <c r="S47" s="4" t="str">
        <f>IF(OR(ISBLANK('MH01'!#REF!),ISERROR('MH01'!#REF!)),"",'MH01'!#REF!)</f>
        <v/>
      </c>
      <c r="T47" s="4" t="str">
        <f>IF(OR(ISBLANK('MH01'!#REF!),ISERROR('MH01'!#REF!)),"",'MH01'!#REF!)</f>
        <v/>
      </c>
      <c r="AB47" s="61"/>
    </row>
    <row r="48" spans="1:28" x14ac:dyDescent="0.2">
      <c r="A48" s="25" t="str">
        <f>IF(OR(ISBLANK('MH01'!A49),ISERROR('MH01'!A49)),"",'MH01'!A49)</f>
        <v/>
      </c>
      <c r="B48" s="74" t="str">
        <f>IF(OR(ISBLANK('MH01'!B49),ISERROR('MH01'!B49)),"",'MH01'!B49)</f>
        <v>-</v>
      </c>
      <c r="C48" s="121" t="str">
        <f>IF(OR(ISBLANK('MH01'!C49),ISERROR('MH01'!C49)),"",'MH01'!C49)</f>
        <v>Diferencia de Berkson</v>
      </c>
      <c r="D48" s="121"/>
      <c r="E48" s="99"/>
      <c r="F48" s="99"/>
      <c r="G48" s="99"/>
      <c r="H48" s="99"/>
      <c r="I48" s="99"/>
      <c r="J48" s="471"/>
      <c r="K48" s="470"/>
      <c r="L48" s="27"/>
      <c r="M48" s="27"/>
      <c r="N48" s="27"/>
      <c r="O48" s="27"/>
      <c r="P48" s="27"/>
      <c r="Q48" s="4"/>
      <c r="R48" s="4"/>
      <c r="S48" s="4" t="str">
        <f>IF(OR(ISBLANK('MH01'!#REF!),ISERROR('MH01'!#REF!)),"",'MH01'!#REF!)</f>
        <v/>
      </c>
      <c r="T48" s="4" t="str">
        <f>IF(OR(ISBLANK('MH01'!#REF!),ISERROR('MH01'!#REF!)),"",'MH01'!#REF!)</f>
        <v/>
      </c>
      <c r="AA48" s="61"/>
      <c r="AB48" s="61"/>
    </row>
    <row r="49" spans="1:20" ht="15" x14ac:dyDescent="0.25">
      <c r="A49" s="25" t="str">
        <f>IF(OR(ISBLANK('MH01'!A50),ISERROR('MH01'!A50)),"",'MH01'!A50)</f>
        <v/>
      </c>
      <c r="B49" s="74" t="str">
        <f>IF(OR(ISBLANK('MH01'!B50),ISERROR('MH01'!B50)),"",'MH01'!B50)</f>
        <v/>
      </c>
      <c r="C49" s="283" t="str">
        <f>IF(OR(ISBLANK('MH01'!C50),ISERROR('MH01'!C50)),"",'MH01'!C50)</f>
        <v xml:space="preserve">d  </v>
      </c>
      <c r="D49" s="44" t="str">
        <f>IF(OR(ISBLANK('MH01'!D50),ISERROR('MH01'!D50)),"",'MH01'!D50)</f>
        <v>clasica</v>
      </c>
      <c r="E49" s="156">
        <f>IF(OR(ISBLANK('MH01'!E50),ISERROR('MH01'!E50)),"",'MH01'!E50)</f>
        <v>0.49689440993788825</v>
      </c>
      <c r="F49" s="156">
        <f>IF(OR(ISBLANK('MH01'!F50),ISERROR('MH01'!F50)),"",'MH01'!F50)</f>
        <v>5.8506804045920971E-2</v>
      </c>
      <c r="G49" s="280">
        <f>IF(OR(ISBLANK('MH01'!G50),ISERROR('MH01'!G50)),"",'MH01'!G50)</f>
        <v>0.37311345030847959</v>
      </c>
      <c r="H49" s="1291">
        <f>IF(OR(ISBLANK('MH01'!H50),ISERROR('MH01'!H50)),"",'MH01'!H50)</f>
        <v>0.62067536956729696</v>
      </c>
      <c r="I49" s="1291"/>
      <c r="J49" s="157" t="str">
        <f>IF(OR(ISBLANK('MH01'!I50),ISERROR('MH01'!I50)),"",'MH01'!I50)</f>
        <v>Si</v>
      </c>
      <c r="K49" s="467"/>
      <c r="L49" s="1292" t="str">
        <f>IF(OR(ISBLANK('MH01'!L50),ISERROR('MH01'!L50)),"",'MH01'!L50)</f>
        <v/>
      </c>
      <c r="M49" s="1292"/>
      <c r="N49" s="27"/>
      <c r="O49" s="27"/>
      <c r="P49" s="27"/>
      <c r="Q49" s="4"/>
      <c r="R49" s="4"/>
      <c r="S49" s="4" t="str">
        <f>IF(OR(ISBLANK('MH01'!V50),ISERROR('MH01'!V50)),"",'MH01'!V50)</f>
        <v>Si P(E)&lt;0,10</v>
      </c>
      <c r="T49" s="4" t="str">
        <f>IF(OR(ISBLANK('MH01'!#REF!),ISERROR('MH01'!#REF!)),"",'MH01'!#REF!)</f>
        <v/>
      </c>
    </row>
    <row r="50" spans="1:20" x14ac:dyDescent="0.2">
      <c r="A50" s="25" t="str">
        <f>IF(OR(ISBLANK('MH01'!A51),ISERROR('MH01'!A51)),"",'MH01'!A51)</f>
        <v/>
      </c>
      <c r="B50" s="74" t="str">
        <f>IF(OR(ISBLANK('MH01'!B51),ISERROR('MH01'!B51)),"",'MH01'!B51)</f>
        <v/>
      </c>
      <c r="C50" s="44" t="str">
        <f>IF(OR(ISBLANK('MH01'!C51),ISERROR('MH01'!C51)),"",'MH01'!C51)</f>
        <v/>
      </c>
      <c r="D50" s="44" t="str">
        <f>IF(OR(ISBLANK('MH01'!D52),ISERROR('MH01'!D52)),"",'MH01'!D52)</f>
        <v>d(h)+SE(h)</v>
      </c>
      <c r="E50" s="156">
        <f>IF(OR(ISBLANK('MH01'!E52),ISERROR('MH01'!E52)),"",'MH01'!E52)</f>
        <v>0.48840238199300379</v>
      </c>
      <c r="F50" s="156">
        <f>IF(OR(ISBLANK('MH01'!F52),ISERROR('MH01'!F52)),"",'MH01'!F52)</f>
        <v>5.8321328340990748E-2</v>
      </c>
      <c r="G50" s="280">
        <f>IF(OR(ISBLANK('MH01'!G52),ISERROR('MH01'!G52)),"",'MH01'!G52)</f>
        <v>0.37409467891412679</v>
      </c>
      <c r="H50" s="1292">
        <f>IF(OR(ISBLANK('MH01'!H52),ISERROR('MH01'!H52)),"",'MH01'!H52)</f>
        <v>0.60271008507188073</v>
      </c>
      <c r="I50" s="1292"/>
      <c r="J50" s="157" t="str">
        <f>IF(OR(ISBLANK('MH01'!I51),ISERROR('MH01'!I51)),"",'MH01'!I51)</f>
        <v>Si</v>
      </c>
      <c r="K50" s="467"/>
      <c r="L50" s="27"/>
      <c r="M50" s="27"/>
      <c r="N50" s="27"/>
      <c r="O50" s="27"/>
      <c r="P50" s="27"/>
      <c r="Q50" s="4"/>
      <c r="R50" s="4"/>
      <c r="S50" s="4" t="str">
        <f>IF(OR(ISBLANK('MH01'!U51),ISERROR('MH01'!U51)),"",'MH01'!U51)</f>
        <v/>
      </c>
      <c r="T50" s="4" t="str">
        <f>IF(OR(ISBLANK('MH01'!V51),ISERROR('MH01'!V51)),"",'MH01'!V51)</f>
        <v/>
      </c>
    </row>
    <row r="51" spans="1:20" x14ac:dyDescent="0.2">
      <c r="A51" s="25" t="str">
        <f>IF(OR(ISBLANK('MH01'!A53),ISERROR('MH01'!A53)),"",'MH01'!A53)</f>
        <v/>
      </c>
      <c r="B51" s="74" t="str">
        <f>IF(OR(ISBLANK('MH01'!B53),ISERROR('MH01'!B53)),"",'MH01'!B53)</f>
        <v/>
      </c>
      <c r="C51" s="77" t="str">
        <f>IF(OR(ISBLANK('MH01'!C52),ISERROR('MH01'!C52)),"",'MH01'!C52)</f>
        <v/>
      </c>
      <c r="H51" s="74"/>
      <c r="I51" s="74"/>
      <c r="J51" s="157"/>
      <c r="K51" s="467"/>
      <c r="L51" s="27"/>
      <c r="M51" s="27"/>
      <c r="N51" s="27"/>
      <c r="O51" s="27"/>
      <c r="P51" s="27"/>
    </row>
    <row r="52" spans="1:20" ht="12.75" customHeight="1" x14ac:dyDescent="0.2">
      <c r="A52" s="25" t="str">
        <f>IF(OR(ISBLANK('MH01'!A54),ISERROR('MH01'!A54)),"",'MH01'!A54)</f>
        <v/>
      </c>
      <c r="B52" s="74" t="str">
        <f>IF(OR(ISBLANK('MH01'!B54),ISERROR('MH01'!B54)),"",'MH01'!B54)</f>
        <v>-</v>
      </c>
      <c r="C52" s="121" t="str">
        <f>IF(OR(ISBLANK('MH01'!C54),ISERROR('MH01'!C54)),"",'MH01'!C54)</f>
        <v>Riesgo relativo</v>
      </c>
      <c r="D52" s="121" t="str">
        <f>IF(OR(ISBLANK('MH01'!D54),ISERROR('MH01'!D54)),"",'MH01'!D54)</f>
        <v/>
      </c>
      <c r="E52" s="299"/>
      <c r="F52" s="99"/>
      <c r="G52" s="152"/>
      <c r="H52" s="152"/>
      <c r="I52" s="152"/>
      <c r="J52" s="469" t="str">
        <f>IF(OR(ISBLANK('MH01'!I53),ISERROR('MH01'!I53)),"",'MH01'!I53)</f>
        <v/>
      </c>
      <c r="K52" s="467"/>
      <c r="L52" s="285"/>
      <c r="M52" s="285"/>
      <c r="N52" s="285"/>
      <c r="O52" s="285"/>
      <c r="P52" s="285"/>
    </row>
    <row r="53" spans="1:20" x14ac:dyDescent="0.2">
      <c r="A53" s="25" t="str">
        <f>IF(OR(ISBLANK('MH01'!A56),ISERROR('MH01'!A56)),"",'MH01'!A56)</f>
        <v/>
      </c>
      <c r="B53" s="74" t="str">
        <f>IF(OR(ISBLANK('MH01'!B56),ISERROR('MH01'!B56)),"",'MH01'!B56)</f>
        <v/>
      </c>
      <c r="C53" s="77" t="str">
        <f>IF(OR(ISBLANK('MH01'!C55),ISERROR('MH01'!C55)),"",'MH01'!C55)</f>
        <v>R</v>
      </c>
      <c r="D53" s="44" t="str">
        <f>IF(OR(ISBLANK('MH01'!D55),ISERROR('MH01'!D55)),"",'MH01'!D55)</f>
        <v>clásica</v>
      </c>
      <c r="E53" s="156">
        <f>IF(OR(ISBLANK('MH01'!E55),ISERROR('MH01'!E55)),"",'MH01'!E55)</f>
        <v>3.285714285714286</v>
      </c>
      <c r="F53" s="298" t="str">
        <f>IF(OR(ISBLANK('MH01'!F55),ISERROR('MH01'!F55)),"",'MH01'!F55)</f>
        <v>-</v>
      </c>
      <c r="G53" s="156">
        <f>IF(OR(ISBLANK('MH01'!G55),ISERROR('MH01'!G55)),"",'MH01'!G55)</f>
        <v>2.2842388106452391</v>
      </c>
      <c r="H53" s="1293">
        <f>IF(OR(ISBLANK('MH01'!H55),ISERROR('MH01'!H55)),"",'MH01'!H55)</f>
        <v>4.7262651860369047</v>
      </c>
      <c r="I53" s="1293"/>
      <c r="J53" s="157" t="str">
        <f>IF(OR(ISBLANK('MH01'!I55),ISERROR('MH01'!I55)),"",'MH01'!I55)</f>
        <v>Si</v>
      </c>
      <c r="K53" s="467"/>
      <c r="L53" s="285"/>
      <c r="M53" s="285"/>
      <c r="N53" s="285"/>
      <c r="O53" s="285"/>
      <c r="P53" s="285"/>
    </row>
    <row r="54" spans="1:20" x14ac:dyDescent="0.2">
      <c r="A54" s="25" t="str">
        <f>IF(OR(ISBLANK('MH01'!A57),ISERROR('MH01'!A57)),"",'MH01'!A57)</f>
        <v/>
      </c>
      <c r="B54" s="74" t="str">
        <f>IF(OR(ISBLANK('MH01'!B57),ISERROR('MH01'!B57)),"",'MH01'!B57)</f>
        <v/>
      </c>
      <c r="C54" s="77"/>
      <c r="D54" s="44" t="str">
        <f>IF(OR(ISBLANK('MH01'!D56),ISERROR('MH01'!D56)),"",'MH01'!D56)</f>
        <v>h1=0.5</v>
      </c>
      <c r="E54" s="156">
        <f>IF(OR(ISBLANK('MH01'!E56),ISERROR('MH01'!E56)),"",'MH01'!E56)</f>
        <v>3.2401035886052534</v>
      </c>
      <c r="F54" s="298" t="str">
        <f>IF(OR(ISBLANK('MH01'!F56),ISERROR('MH01'!F56)),"",'MH01'!F56)</f>
        <v>-</v>
      </c>
      <c r="G54" s="156">
        <f>IF(OR(ISBLANK('MH01'!G56),ISERROR('MH01'!G56)),"",'MH01'!G56)</f>
        <v>2.2525301118791847</v>
      </c>
      <c r="H54" s="1299">
        <f>IF(OR(ISBLANK('MH01'!H56),ISERROR('MH01'!H56)),"",'MH01'!H56)</f>
        <v>4.6606574578194673</v>
      </c>
      <c r="I54" s="1299"/>
      <c r="J54" s="157" t="str">
        <f>IF(OR(ISBLANK('MH01'!I56),ISERROR('MH01'!I56)),"",'MH01'!I56)</f>
        <v>Si</v>
      </c>
      <c r="K54" s="467"/>
      <c r="L54" s="285"/>
      <c r="M54" s="285"/>
      <c r="N54" s="285"/>
      <c r="O54" s="285"/>
      <c r="P54" s="285"/>
    </row>
    <row r="55" spans="1:20" x14ac:dyDescent="0.2">
      <c r="A55" s="25" t="str">
        <f>IF(OR(ISBLANK('MH01'!A58),ISERROR('MH01'!A58)),"",'MH01'!A58)</f>
        <v/>
      </c>
      <c r="B55" s="74" t="str">
        <f>IF(OR(ISBLANK('MH01'!B58),ISERROR('MH01'!B58)),"",'MH01'!B58)</f>
        <v/>
      </c>
      <c r="C55" s="77" t="str">
        <f>IF(OR(ISBLANK('MH01'!C56),ISERROR('MH01'!C56)),"",'MH01'!C56)</f>
        <v/>
      </c>
      <c r="D55" s="44" t="str">
        <f>IF(OR(ISBLANK('MH01'!D57),ISERROR('MH01'!D57)),"",'MH01'!D57)</f>
        <v>h2=z2/4</v>
      </c>
      <c r="E55" s="156">
        <f>IF(OR(ISBLANK('MH01'!E57),ISERROR('MH01'!E57)),"",'MH01'!E57)</f>
        <v>3.1996749042971988</v>
      </c>
      <c r="F55" s="298" t="str">
        <f>IF(OR(ISBLANK('MH01'!F57),ISERROR('MH01'!F57)),"",'MH01'!F57)</f>
        <v>-</v>
      </c>
      <c r="G55" s="156">
        <f>IF(OR(ISBLANK('MH01'!G57),ISERROR('MH01'!G57)),"",'MH01'!G57)</f>
        <v>2.0851151877162422</v>
      </c>
      <c r="H55" s="1299">
        <f>IF(OR(ISBLANK('MH01'!H57),ISERROR('MH01'!H57)),"",'MH01'!H57)</f>
        <v>4.5575530406583491</v>
      </c>
      <c r="I55" s="1299"/>
      <c r="J55" s="157" t="str">
        <f>IF(OR(ISBLANK('MH01'!I57),ISERROR('MH01'!I57)),"",'MH01'!I57)</f>
        <v>Si</v>
      </c>
      <c r="K55" s="467"/>
      <c r="L55" s="285"/>
      <c r="M55" s="285"/>
      <c r="N55" s="285"/>
      <c r="O55" s="285"/>
      <c r="P55" s="285"/>
    </row>
    <row r="56" spans="1:20" x14ac:dyDescent="0.2">
      <c r="A56" s="25" t="str">
        <f>IF(OR(ISBLANK('MH01'!A60),ISERROR('MH01'!A60)),"",'MH01'!A60)</f>
        <v/>
      </c>
      <c r="B56" s="74" t="str">
        <f>IF(OR(ISBLANK('MH01'!B60),ISERROR('MH01'!B60)),"",'MH01'!B60)</f>
        <v/>
      </c>
      <c r="C56" s="77"/>
      <c r="D56" s="44" t="str">
        <f>IF(OR(ISBLANK('MH01'!D59),ISERROR('MH01'!D59)),"",'MH01'!D59)</f>
        <v/>
      </c>
      <c r="E56" s="156" t="str">
        <f>IF(OR(ISBLANK('MH01'!E59),ISERROR('MH01'!E59)),"",'MH01'!E59)</f>
        <v/>
      </c>
      <c r="F56" s="156" t="str">
        <f>IF(OR(ISBLANK('MH01'!F59),ISERROR('MH01'!F59)),"",'MH01'!F59)</f>
        <v/>
      </c>
      <c r="G56" s="156" t="str">
        <f>IF(OR(ISBLANK('MH01'!G59),ISERROR('MH01'!G59)),"",'MH01'!G59)</f>
        <v/>
      </c>
      <c r="H56" s="83"/>
      <c r="I56" s="298" t="str">
        <f>IF(OR(ISBLANK('MH01'!H59),ISERROR('MH01'!H59)),"",'MH01'!H59)</f>
        <v/>
      </c>
      <c r="J56" s="157"/>
      <c r="K56" s="467"/>
      <c r="L56" s="285"/>
      <c r="M56" s="285"/>
      <c r="N56" s="285"/>
      <c r="O56" s="285"/>
      <c r="P56" s="285"/>
    </row>
    <row r="57" spans="1:20" x14ac:dyDescent="0.2">
      <c r="A57" s="25" t="str">
        <f>IF(OR(ISBLANK('MH01'!A61),ISERROR('MH01'!A61)),"",'MH01'!A61)</f>
        <v/>
      </c>
      <c r="B57" s="74" t="str">
        <f>IF(OR(ISBLANK('MH01'!B61),ISERROR('MH01'!B61)),"",'MH01'!B61)</f>
        <v/>
      </c>
      <c r="C57" s="77" t="str">
        <f>IF(OR(ISBLANK('MH01'!#REF!),ISERROR('MH01'!#REF!)),"",'MH01'!#REF!)</f>
        <v/>
      </c>
      <c r="D57" s="44" t="str">
        <f>IF(OR(ISBLANK('MH01'!D60),ISERROR('MH01'!D60)),"",'MH01'!D60)</f>
        <v>Woolf</v>
      </c>
      <c r="E57" s="156">
        <f>IF(OR(ISBLANK('MH01'!E60),ISERROR('MH01'!E60)),"",'MH01'!E60)</f>
        <v>3.285714285714286</v>
      </c>
      <c r="F57" s="298" t="str">
        <f>IF(OR(ISBLANK('MH01'!F60),ISERROR('MH01'!F60)),"",'MH01'!F60)</f>
        <v>-</v>
      </c>
      <c r="G57" s="156">
        <f>IF(OR(ISBLANK('MH01'!G60),ISERROR('MH01'!G60)),"",'MH01'!G60)</f>
        <v>2.2757561710975711</v>
      </c>
      <c r="H57" s="1299">
        <f>IF(OR(ISBLANK('MH01'!H60),ISERROR('MH01'!H60)),"",'MH01'!H60)</f>
        <v>4.7438818378069882</v>
      </c>
      <c r="I57" s="1299"/>
      <c r="J57" s="157" t="str">
        <f>IF(OR(ISBLANK('MH01'!I60),ISERROR('MH01'!I60)),"",'MH01'!I60)</f>
        <v>Si</v>
      </c>
      <c r="K57" s="470"/>
      <c r="L57" s="285"/>
      <c r="M57" s="285"/>
      <c r="N57" s="285"/>
      <c r="O57" s="285"/>
      <c r="P57" s="285"/>
    </row>
    <row r="58" spans="1:20" x14ac:dyDescent="0.2">
      <c r="A58" s="25" t="str">
        <f>IF(OR(ISBLANK('MH01'!A62),ISERROR('MH01'!A62)),"",'MH01'!A62)</f>
        <v/>
      </c>
      <c r="B58" s="74" t="str">
        <f>IF(OR(ISBLANK('MH01'!B62),ISERROR('MH01'!B62)),"",'MH01'!B62)</f>
        <v/>
      </c>
      <c r="C58" s="77" t="str">
        <f>IF(OR(ISBLANK('MH01'!C60),ISERROR('MH01'!C60)),"",'MH01'!C60)</f>
        <v/>
      </c>
      <c r="D58" s="44" t="str">
        <f>IF(OR(ISBLANK('MH01'!D61),ISERROR('MH01'!D61)),"",'MH01'!D61)</f>
        <v>M&amp;A</v>
      </c>
      <c r="E58" s="156">
        <f>IF(OR(ISBLANK('MH01'!E61),ISERROR('MH01'!E61)),"",'MH01'!E61)</f>
        <v>3.285714285714286</v>
      </c>
      <c r="F58" s="415" t="s">
        <v>60</v>
      </c>
      <c r="G58" s="156">
        <f>IF(OR(ISBLANK('MH01'!G61),ISERROR('MH01'!G61)),"",'MH01'!G61)</f>
        <v>2.2525301118791847</v>
      </c>
      <c r="H58" s="1299">
        <f>IF(OR(ISBLANK('MH01'!H61),ISERROR('MH01'!H61)),"",'MH01'!H61)</f>
        <v>4.6606574578194673</v>
      </c>
      <c r="I58" s="1299"/>
      <c r="J58" s="157" t="str">
        <f>IF(OR(ISBLANK('MH01'!I61),ISERROR('MH01'!I61)),"",'MH01'!I61)</f>
        <v>Si</v>
      </c>
      <c r="K58" s="467"/>
      <c r="L58" s="285"/>
      <c r="M58" s="285"/>
      <c r="N58" s="285"/>
      <c r="O58" s="285"/>
      <c r="P58" s="285"/>
    </row>
    <row r="59" spans="1:20" x14ac:dyDescent="0.2">
      <c r="A59" s="25" t="str">
        <f>IF(OR(ISBLANK('MH01'!A63),ISERROR('MH01'!A63)),"",'MH01'!A63)</f>
        <v/>
      </c>
      <c r="B59" s="74" t="str">
        <f>IF(OR(ISBLANK('MH01'!B63),ISERROR('MH01'!B63)),"",'MH01'!B63)</f>
        <v/>
      </c>
      <c r="C59" s="77" t="str">
        <f>IF(OR(ISBLANK('MH01'!C61),ISERROR('MH01'!C61)),"",'MH01'!C61)</f>
        <v/>
      </c>
      <c r="D59" s="44" t="str">
        <f>IF(OR(ISBLANK('MH01'!D62),ISERROR('MH01'!D62)),"",'MH01'!D62)</f>
        <v>Katz</v>
      </c>
      <c r="E59" s="156">
        <f>IF(OR(ISBLANK('MH01'!E62),ISERROR('MH01'!E62)),"",'MH01'!E62)</f>
        <v>3.285714285714286</v>
      </c>
      <c r="F59" s="415" t="s">
        <v>60</v>
      </c>
      <c r="G59" s="156">
        <f>IF(OR(ISBLANK('MH01'!G62),ISERROR('MH01'!G62)),"",'MH01'!G62)</f>
        <v>2.0851151877162422</v>
      </c>
      <c r="H59" s="1299">
        <f>IF(OR(ISBLANK('MH01'!H62),ISERROR('MH01'!H62)),"",'MH01'!H62)</f>
        <v>4.4093379863279285</v>
      </c>
      <c r="I59" s="1299"/>
      <c r="J59" s="157" t="str">
        <f>IF(OR(ISBLANK('MH01'!I62),ISERROR('MH01'!I62)),"",'MH01'!I62)</f>
        <v>Si</v>
      </c>
      <c r="K59" s="467"/>
      <c r="L59" s="285"/>
      <c r="M59" s="285"/>
      <c r="N59" s="285"/>
      <c r="O59" s="285"/>
      <c r="P59" s="285"/>
    </row>
    <row r="60" spans="1:20" x14ac:dyDescent="0.2">
      <c r="B60" s="74"/>
      <c r="C60" s="77"/>
      <c r="D60" s="44" t="str">
        <f>IF(OR(ISBLANK('MH01'!D63),ISERROR('MH01'!D63)),"",'MH01'!D63)</f>
        <v>Fieller (+h2)</v>
      </c>
      <c r="E60" s="156">
        <f>IF(OR(ISBLANK('MH01'!E63),ISERROR('MH01'!E63)),"",'MH01'!E63)</f>
        <v>3.1996749042971988</v>
      </c>
      <c r="F60" s="415" t="str">
        <f>IF(OR(ISBLANK('MH01'!F63),ISERROR('MH01'!F63)),"",'MH01'!F63)</f>
        <v>-</v>
      </c>
      <c r="G60" s="156">
        <f>IF(OR(ISBLANK('MH01'!G63),ISERROR('MH01'!G63)),"",'MH01'!G63)</f>
        <v>2.321872245886818</v>
      </c>
      <c r="H60" s="1299">
        <f>IF(OR(ISBLANK('MH01'!H63),ISERROR('MH01'!H63)),"",'MH01'!H63)</f>
        <v>4.9100018807126631</v>
      </c>
      <c r="I60" s="1299"/>
      <c r="J60" s="157" t="str">
        <f>IF(OR(ISBLANK('MH01'!I63),ISERROR('MH01'!I63)),"",'MH01'!I63)</f>
        <v>Si</v>
      </c>
      <c r="K60" s="467"/>
      <c r="L60" s="285"/>
      <c r="M60" s="285"/>
      <c r="N60" s="285"/>
      <c r="O60" s="285"/>
      <c r="P60" s="285"/>
    </row>
    <row r="61" spans="1:20" x14ac:dyDescent="0.2">
      <c r="B61" s="74"/>
      <c r="C61" s="77"/>
      <c r="D61" s="44"/>
      <c r="E61" s="156"/>
      <c r="F61" s="156"/>
      <c r="G61" s="156"/>
      <c r="H61" s="415"/>
      <c r="I61" s="415"/>
      <c r="J61" s="102"/>
      <c r="K61" s="467"/>
      <c r="L61" s="285"/>
      <c r="M61" s="285"/>
      <c r="N61" s="285"/>
      <c r="O61" s="285"/>
      <c r="P61" s="285"/>
    </row>
    <row r="62" spans="1:20" x14ac:dyDescent="0.2">
      <c r="A62" s="25" t="str">
        <f>IF(OR(ISBLANK('MH01'!A64),ISERROR('MH01'!A64)),"",'MH01'!A64)</f>
        <v/>
      </c>
      <c r="B62" s="74" t="s">
        <v>60</v>
      </c>
      <c r="C62" s="81" t="str">
        <f>IF(OR(ISBLANK('MH01'!C67),ISERROR('MH01'!C67)),"",'MH01'!C67)</f>
        <v>Razón de producto cruzado (Odds Ratio)</v>
      </c>
      <c r="D62" s="44"/>
      <c r="E62" s="156"/>
      <c r="F62" s="145"/>
      <c r="G62" s="156"/>
      <c r="H62" s="298"/>
      <c r="I62" s="298"/>
      <c r="J62" s="465"/>
      <c r="K62" s="467"/>
      <c r="L62" s="285"/>
      <c r="M62" s="285"/>
      <c r="N62" s="285"/>
      <c r="O62" s="285"/>
      <c r="P62" s="285"/>
    </row>
    <row r="63" spans="1:20" x14ac:dyDescent="0.2">
      <c r="A63" s="25" t="str">
        <f>IF(OR(ISBLANK('MH01'!A65),ISERROR('MH01'!A65)),"",'MH01'!A65)</f>
        <v/>
      </c>
      <c r="B63" s="74" t="str">
        <f>IF(OR(ISBLANK('MH01'!B65),ISERROR('MH01'!B65)),"",'MH01'!B65)</f>
        <v/>
      </c>
      <c r="C63" s="351" t="str">
        <f>IF(OR(ISBLANK('MH01'!C68),ISERROR('MH01'!C68)),"",'MH01'!C68)</f>
        <v>OR</v>
      </c>
      <c r="D63" s="339" t="str">
        <f>IF(OR(ISBLANK('MH01'!D68),ISERROR('MH01'!D68)),"",'MH01'!D68)</f>
        <v>h=0</v>
      </c>
      <c r="E63" s="339">
        <f>IF(OR(ISBLANK('MH01'!E68),ISERROR('MH01'!E68)),"",'MH01'!E68)</f>
        <v>9</v>
      </c>
      <c r="F63" s="416" t="s">
        <v>60</v>
      </c>
      <c r="G63" s="339">
        <f>IF(OR(ISBLANK('MH01'!G68),ISERROR('MH01'!G68)),"",'MH01'!G68)</f>
        <v>6.5989230993496459</v>
      </c>
      <c r="H63" s="1293">
        <f>IF(OR(ISBLANK('MH01'!H68),ISERROR('MH01'!H68)),"",'MH01'!H68)</f>
        <v>16.534298055903268</v>
      </c>
      <c r="I63" s="1293"/>
      <c r="J63" s="157" t="str">
        <f>IF(OR(ISBLANK('MH01'!I68),ISERROR('MH01'!I68)),"",'MH01'!I68)</f>
        <v>Si</v>
      </c>
      <c r="K63" s="467"/>
      <c r="L63" s="285"/>
      <c r="M63" s="285"/>
      <c r="N63" s="285"/>
      <c r="O63" s="285"/>
      <c r="P63" s="285"/>
    </row>
    <row r="64" spans="1:20" x14ac:dyDescent="0.2">
      <c r="A64" s="25" t="str">
        <f>IF(OR(ISBLANK('MH01'!A66),ISERROR('MH01'!A66)),"",'MH01'!A66)</f>
        <v/>
      </c>
      <c r="B64" s="74" t="str">
        <f>IF(OR(ISBLANK('MH01'!B66),ISERROR('MH01'!B66)),"",'MH01'!B66)</f>
        <v/>
      </c>
      <c r="C64" s="81" t="str">
        <f>IF(OR(ISBLANK('MH01'!C69),ISERROR('MH01'!C69)),"",'MH01'!C69)</f>
        <v/>
      </c>
      <c r="D64" s="156" t="str">
        <f>IF(OR(ISBLANK('MH01'!D69),ISERROR('MH01'!D69)),"",'MH01'!D69)</f>
        <v>h1=0.5</v>
      </c>
      <c r="E64" s="156">
        <f>IF(OR(ISBLANK('MH01'!E69),ISERROR('MH01'!E69)),"",'MH01'!E69)</f>
        <v>8.7852780456444872</v>
      </c>
      <c r="F64" s="415" t="s">
        <v>60</v>
      </c>
      <c r="G64" s="156">
        <f>IF(OR(ISBLANK('MH01'!G69),ISERROR('MH01'!G69)),"",'MH01'!G69)</f>
        <v>4.7820295813870839</v>
      </c>
      <c r="H64" s="1299">
        <f>IF(OR(ISBLANK('MH01'!H69),ISERROR('MH01'!H69)),"",'MH01'!H69)</f>
        <v>16.139822856741034</v>
      </c>
      <c r="I64" s="1299"/>
      <c r="J64" s="157" t="str">
        <f>IF(OR(ISBLANK('MH01'!I69),ISERROR('MH01'!I69)),"",'MH01'!I69)</f>
        <v>Si</v>
      </c>
      <c r="K64" s="467"/>
      <c r="L64" s="285"/>
      <c r="M64" s="285"/>
      <c r="N64" s="285"/>
      <c r="O64" s="285"/>
      <c r="P64" s="285"/>
    </row>
    <row r="65" spans="1:16" x14ac:dyDescent="0.2">
      <c r="A65" s="25" t="str">
        <f>IF(OR(ISBLANK('MH01'!A67),ISERROR('MH01'!A67)),"",'MH01'!A67)</f>
        <v/>
      </c>
      <c r="B65" s="74"/>
      <c r="C65" s="81" t="str">
        <f>IF(OR(ISBLANK('MH01'!C70),ISERROR('MH01'!C70)),"",'MH01'!C70)</f>
        <v/>
      </c>
      <c r="D65" s="111" t="str">
        <f>IF(OR(ISBLANK('MH01'!D70),ISERROR('MH01'!D70)),"",'MH01'!D70)</f>
        <v>SPSS</v>
      </c>
      <c r="E65" s="156">
        <f>IF(OR(ISBLANK('MH01'!E70),ISERROR('MH01'!E70)),"",'MH01'!E70)</f>
        <v>9</v>
      </c>
      <c r="F65" s="415" t="s">
        <v>60</v>
      </c>
      <c r="G65" s="156">
        <f>IF(OR(ISBLANK('MH01'!G70),ISERROR('MH01'!G70)),"",'MH01'!G70)</f>
        <v>4.8761445020711758</v>
      </c>
      <c r="H65" s="1299">
        <f>IF(OR(ISBLANK('MH01'!H70),ISERROR('MH01'!H70)),"",'MH01'!H70)</f>
        <v>16.611484742832108</v>
      </c>
      <c r="I65" s="1299"/>
      <c r="J65" s="157" t="str">
        <f>IF(OR(ISBLANK('MH01'!I70),ISERROR('MH01'!I70)),"",'MH01'!I70)</f>
        <v>Si</v>
      </c>
      <c r="K65" s="467"/>
      <c r="L65" s="300"/>
      <c r="M65" s="300"/>
      <c r="N65" s="300"/>
      <c r="O65" s="300"/>
      <c r="P65" s="300"/>
    </row>
    <row r="66" spans="1:16" x14ac:dyDescent="0.2">
      <c r="A66" s="25" t="str">
        <f>IF(OR(ISBLANK('MH01'!A68),ISERROR('MH01'!A68)),"",'MH01'!A68)</f>
        <v/>
      </c>
      <c r="B66" s="74" t="str">
        <f>IF(OR(ISBLANK('MH01'!B68),ISERROR('MH01'!B68)),"",'MH01'!B68)</f>
        <v/>
      </c>
      <c r="C66" s="81" t="str">
        <f>IF(OR(ISBLANK('MH01'!C71),ISERROR('MH01'!C71)),"",'MH01'!C71)</f>
        <v/>
      </c>
      <c r="D66" s="81"/>
      <c r="E66" s="27"/>
      <c r="F66" s="85"/>
      <c r="H66" s="27"/>
      <c r="I66" s="27"/>
      <c r="J66" s="157" t="str">
        <f>IF(OR(ISBLANK('MH01'!I67),ISERROR('MH01'!I67)),"",'MH01'!I67)</f>
        <v/>
      </c>
      <c r="K66" s="467"/>
      <c r="L66" s="300"/>
      <c r="M66" s="300"/>
      <c r="N66" s="300"/>
      <c r="O66" s="300"/>
      <c r="P66" s="300"/>
    </row>
    <row r="67" spans="1:16" x14ac:dyDescent="0.2">
      <c r="A67" s="25" t="str">
        <f>IF(OR(ISBLANK('MH01'!A69),ISERROR('MH01'!A69)),"",'MH01'!A69)</f>
        <v/>
      </c>
      <c r="B67" s="74" t="str">
        <f>IF(OR(ISBLANK('MH01'!B69),ISERROR('MH01'!B69)),"",'MH01'!B69)</f>
        <v/>
      </c>
      <c r="C67" s="81" t="str">
        <f>IF(OR(ISBLANK('MH01'!C72),ISERROR('MH01'!C72)),"",'MH01'!C72)</f>
        <v/>
      </c>
      <c r="D67" s="81"/>
      <c r="E67" s="74"/>
      <c r="F67" s="145"/>
      <c r="G67" s="235"/>
      <c r="H67" s="235"/>
      <c r="I67" s="235"/>
      <c r="J67" s="102"/>
      <c r="K67" s="467"/>
      <c r="L67" s="300"/>
      <c r="M67" s="300"/>
      <c r="N67" s="300"/>
      <c r="O67" s="300"/>
      <c r="P67" s="300"/>
    </row>
    <row r="68" spans="1:16" x14ac:dyDescent="0.2">
      <c r="A68" s="25" t="str">
        <f>IF(OR(ISBLANK('MH01'!A70),ISERROR('MH01'!A70)),"",'MH01'!A70)</f>
        <v/>
      </c>
      <c r="B68" s="74" t="s">
        <v>60</v>
      </c>
      <c r="C68" s="101" t="str">
        <f>IF(OR(ISBLANK('MH01'!C81),ISERROR('MH01'!C81)),"",'MH01'!C81)</f>
        <v>Riesgo atribuible</v>
      </c>
      <c r="D68" s="101" t="str">
        <f>IF(OR(ISBLANK('MH01'!D81),ISERROR('MH01'!D81)),"",'MH01'!D81)</f>
        <v/>
      </c>
      <c r="E68" s="101" t="str">
        <f>IF(OR(ISBLANK('MH01'!E81),ISERROR('MH01'!E81)),"",'MH01'!E81)</f>
        <v/>
      </c>
      <c r="F68" s="101" t="str">
        <f>IF(OR(ISBLANK('MH01'!F81),ISERROR('MH01'!F81)),"",'MH01'!F81)</f>
        <v/>
      </c>
      <c r="G68" s="101" t="str">
        <f>IF(OR(ISBLANK('MH01'!G81),ISERROR('MH01'!G81)),"",'MH01'!G81)</f>
        <v/>
      </c>
      <c r="H68" s="101" t="str">
        <f>IF(OR(ISBLANK('MH01'!H81),ISERROR('MH01'!H81)),"",'MH01'!H81)</f>
        <v/>
      </c>
      <c r="I68" s="101" t="str">
        <f>IF(OR(ISBLANK('MH01'!I81),ISERROR('MH01'!I81)),"",'MH01'!I81)</f>
        <v/>
      </c>
      <c r="J68" s="465"/>
      <c r="K68" s="467"/>
      <c r="L68" s="300"/>
      <c r="M68" s="300"/>
      <c r="N68" s="300"/>
      <c r="O68" s="300"/>
      <c r="P68" s="300"/>
    </row>
    <row r="69" spans="1:16" x14ac:dyDescent="0.2">
      <c r="A69" s="25" t="str">
        <f>IF(OR(ISBLANK('MH01'!A71),ISERROR('MH01'!A71)),"",'MH01'!A71)</f>
        <v/>
      </c>
      <c r="B69" s="74" t="str">
        <f>IF(OR(ISBLANK('MH01'!B71),ISERROR('MH01'!B71)),"",'MH01'!B71)</f>
        <v/>
      </c>
      <c r="C69" s="81" t="str">
        <f>IF(OR(ISBLANK('MH01'!C82),ISERROR('MH01'!C82)),"",'MH01'!C82)</f>
        <v xml:space="preserve">Rb </v>
      </c>
      <c r="D69" s="156" t="str">
        <f>IF(OR(ISBLANK('MH01'!D82),ISERROR('MH01'!D82)),"",'MH01'!D82)</f>
        <v>Transversales</v>
      </c>
      <c r="E69" s="156">
        <f>IF(OR(ISBLANK('MH01'!E82),ISERROR('MH01'!E82)),"",'MH01'!E82)</f>
        <v>0.52173913043478259</v>
      </c>
      <c r="F69" s="464" t="str">
        <f>IF(OR(ISBLANK('MH01'!F82),ISERROR('MH01'!F82)),"",'MH01'!F82)</f>
        <v>-</v>
      </c>
      <c r="G69" s="156">
        <f>IF(OR(ISBLANK('MH01'!G82),ISERROR('MH01'!G82)),"",'MH01'!G82)</f>
        <v>0.36418802804854</v>
      </c>
      <c r="I69" s="156">
        <f>IF(OR(ISBLANK('MH01'!H82),ISERROR('MH01'!H82)),"",'MH01'!H82)</f>
        <v>0.64024983887101117</v>
      </c>
      <c r="J69" s="468" t="str">
        <f>IF(OR(ISBLANK('MH01'!I82),ISERROR('MH01'!I82)),"",'MH01'!I82)</f>
        <v>Si</v>
      </c>
      <c r="K69" s="467"/>
      <c r="L69" s="156" t="str">
        <f>IF(OR(ISBLANK('MH01'!K82),ISERROR('MH01'!K82)),"",'MH01'!K82)</f>
        <v/>
      </c>
      <c r="M69" s="300"/>
      <c r="N69" s="300"/>
      <c r="O69" s="300"/>
      <c r="P69" s="300"/>
    </row>
    <row r="70" spans="1:16" x14ac:dyDescent="0.2">
      <c r="A70" s="25" t="str">
        <f>IF(OR(ISBLANK('MH01'!A72),ISERROR('MH01'!A72)),"",'MH01'!A72)</f>
        <v/>
      </c>
      <c r="B70" s="145" t="str">
        <f>IF(OR(ISBLANK('MH01'!B72),ISERROR('MH01'!B72)),"",'MH01'!B72)</f>
        <v/>
      </c>
      <c r="C70" s="81" t="str">
        <f>IF(OR(ISBLANK('MH01'!C75),ISERROR('MH01'!C75)),"",'MH01'!C75)</f>
        <v/>
      </c>
      <c r="D70" s="156" t="str">
        <f>IF(OR(ISBLANK('MH01'!D83),ISERROR('MH01'!D83)),"",'MH01'!D83)</f>
        <v>Aprox Retr h=0</v>
      </c>
      <c r="E70" s="464" t="str">
        <f>IF(OR(ISBLANK('MH01'!E83),ISERROR('MH01'!E83)),"",'MH01'!E83)</f>
        <v>-</v>
      </c>
      <c r="F70" s="464" t="str">
        <f>IF(OR(ISBLANK('MH01'!F83),ISERROR('MH01'!F83)),"",'MH01'!F83)</f>
        <v>-</v>
      </c>
      <c r="G70" s="464" t="str">
        <f>IF(OR(ISBLANK('MH01'!G83),ISERROR('MH01'!G83)),"",'MH01'!G83)</f>
        <v>-</v>
      </c>
      <c r="H70" s="83"/>
      <c r="I70" s="464" t="str">
        <f>IF(OR(ISBLANK('MH01'!H83),ISERROR('MH01'!H83)),"",'MH01'!H83)</f>
        <v>-</v>
      </c>
      <c r="J70" s="156" t="str">
        <f>IF(OR(ISBLANK('MH01'!I83),ISERROR('MH01'!I83)),"",'MH01'!I83)</f>
        <v/>
      </c>
      <c r="K70" s="157"/>
      <c r="L70" s="300"/>
      <c r="M70" s="300"/>
      <c r="N70" s="300"/>
      <c r="O70" s="300"/>
      <c r="P70" s="300"/>
    </row>
    <row r="71" spans="1:16" x14ac:dyDescent="0.2">
      <c r="A71" s="25" t="str">
        <f>IF(OR(ISBLANK('MH01'!A73),ISERROR('MH01'!A73)),"",'MH01'!A73)</f>
        <v/>
      </c>
      <c r="B71" s="145" t="str">
        <f>IF(OR(ISBLANK('MH01'!B73),ISERROR('MH01'!B73)),"",'MH01'!B73)</f>
        <v/>
      </c>
      <c r="C71" s="81" t="str">
        <f>IF(OR(ISBLANK('MH01'!C76),ISERROR('MH01'!C76)),"",'MH01'!C76)</f>
        <v/>
      </c>
      <c r="D71" s="156" t="str">
        <f>IF(OR(ISBLANK('MH01'!D84),ISERROR('MH01'!D84)),"",'MH01'!D84)</f>
        <v>Aprox Retr h=0,5</v>
      </c>
      <c r="E71" s="464" t="str">
        <f>IF(OR(ISBLANK('MH01'!E84),ISERROR('MH01'!E84)),"",'MH01'!E84)</f>
        <v>-</v>
      </c>
      <c r="F71" s="464" t="str">
        <f>IF(OR(ISBLANK('MH01'!F84),ISERROR('MH01'!F84)),"",'MH01'!F84)</f>
        <v>-</v>
      </c>
      <c r="G71" s="464" t="str">
        <f>IF(OR(ISBLANK('MH01'!G84),ISERROR('MH01'!G84)),"",'MH01'!G84)</f>
        <v>-</v>
      </c>
      <c r="H71" s="83"/>
      <c r="I71" s="464" t="str">
        <f>IF(OR(ISBLANK('MH01'!H84),ISERROR('MH01'!H84)),"",'MH01'!H84)</f>
        <v>-</v>
      </c>
      <c r="J71" s="156" t="str">
        <f>IF(OR(ISBLANK('MH01'!I84),ISERROR('MH01'!I84)),"",'MH01'!I84)</f>
        <v/>
      </c>
      <c r="K71" s="467"/>
      <c r="L71" s="300"/>
      <c r="M71" s="300"/>
      <c r="N71" s="300"/>
      <c r="O71" s="300"/>
      <c r="P71" s="300"/>
    </row>
    <row r="72" spans="1:16" x14ac:dyDescent="0.2">
      <c r="A72" s="25" t="str">
        <f>IF(OR(ISBLANK('MH01'!A74),ISERROR('MH01'!A74)),"",'MH01'!A74)</f>
        <v/>
      </c>
      <c r="B72" s="145" t="str">
        <f>IF(OR(ISBLANK('MH01'!B74),ISERROR('MH01'!B74)),"",'MH01'!B74)</f>
        <v/>
      </c>
      <c r="C72" s="81" t="str">
        <f>IF(OR(ISBLANK('MH01'!C77),ISERROR('MH01'!C77)),"",'MH01'!C77)</f>
        <v/>
      </c>
      <c r="D72" s="76"/>
      <c r="E72" s="156" t="str">
        <f>IF(OR(ISBLANK('MH01'!D85),ISERROR('MH01'!D85)),"",'MH01'!D85)</f>
        <v/>
      </c>
      <c r="F72" s="145"/>
      <c r="G72" s="97"/>
      <c r="H72" s="97"/>
      <c r="I72" s="74"/>
      <c r="J72" s="282"/>
      <c r="K72" s="300"/>
      <c r="L72" s="300"/>
      <c r="M72" s="300"/>
      <c r="N72" s="300"/>
      <c r="O72" s="300"/>
      <c r="P72" s="300"/>
    </row>
    <row r="73" spans="1:16" x14ac:dyDescent="0.2">
      <c r="A73" s="25" t="str">
        <f>IF(OR(ISBLANK('MH01'!A75),ISERROR('MH01'!A75)),"",'MH01'!A75)</f>
        <v/>
      </c>
      <c r="B73" s="145" t="str">
        <f>IF(OR(ISBLANK('MH01'!B75),ISERROR('MH01'!B75)),"",'MH01'!B75)</f>
        <v/>
      </c>
      <c r="C73" s="81" t="str">
        <f>IF(OR(ISBLANK('MH01'!C78),ISERROR('MH01'!C78)),"",'MH01'!C78)</f>
        <v/>
      </c>
      <c r="D73" s="76"/>
      <c r="E73" s="156" t="str">
        <f>IF(OR(ISBLANK('MH01'!D86),ISERROR('MH01'!D86)),"",'MH01'!D86)</f>
        <v/>
      </c>
      <c r="F73" s="145"/>
      <c r="G73" s="97"/>
      <c r="H73" s="97"/>
      <c r="I73" s="97"/>
      <c r="J73" s="27"/>
      <c r="K73" s="300"/>
      <c r="L73" s="300"/>
      <c r="M73" s="300"/>
      <c r="N73" s="300"/>
      <c r="O73" s="300"/>
      <c r="P73" s="300"/>
    </row>
    <row r="74" spans="1:16" ht="12.75" hidden="1" customHeight="1" x14ac:dyDescent="0.2">
      <c r="A74" s="25" t="str">
        <f>IF(OR(ISBLANK('MH01'!A99),ISERROR('MH01'!A99)),"",'MH01'!A99)</f>
        <v/>
      </c>
      <c r="B74" s="139" t="str">
        <f>IF(OR(ISBLANK('MH01'!B99),ISERROR('MH01'!B99)),"",'MH01'!B99)</f>
        <v/>
      </c>
      <c r="D74" s="76"/>
      <c r="F74" s="118"/>
      <c r="G74" s="94"/>
      <c r="H74" s="94"/>
      <c r="I74" s="105"/>
      <c r="J74" s="95"/>
      <c r="K74" s="1306"/>
      <c r="L74" s="1306"/>
      <c r="M74" s="1306"/>
      <c r="N74" s="1306"/>
      <c r="O74" s="1306"/>
      <c r="P74" s="1306"/>
    </row>
    <row r="75" spans="1:16" ht="12.75" hidden="1" customHeight="1" x14ac:dyDescent="0.2">
      <c r="A75" s="25" t="str">
        <f>IF(OR(ISBLANK('MH01'!A100),ISERROR('MH01'!A100)),"",'MH01'!A100)</f>
        <v/>
      </c>
      <c r="B75" s="139" t="str">
        <f>IF(OR(ISBLANK('MH01'!B100),ISERROR('MH01'!B100)),"",'MH01'!B100)</f>
        <v/>
      </c>
      <c r="E75" s="79"/>
      <c r="F75" s="119"/>
      <c r="G75" s="97"/>
      <c r="H75" s="97"/>
      <c r="I75" s="97"/>
      <c r="J75" s="98"/>
      <c r="K75" s="1306"/>
      <c r="L75" s="1306"/>
      <c r="M75" s="1306"/>
      <c r="N75" s="1306"/>
      <c r="O75" s="1306"/>
      <c r="P75" s="1306"/>
    </row>
    <row r="76" spans="1:16" ht="12.75" hidden="1" customHeight="1" x14ac:dyDescent="0.2">
      <c r="A76" s="25" t="str">
        <f>IF(OR(ISBLANK('MH01'!A101),ISERROR('MH01'!A101)),"",'MH01'!A101)</f>
        <v/>
      </c>
      <c r="B76" s="139" t="str">
        <f>IF(OR(ISBLANK('MH01'!B101),ISERROR('MH01'!B101)),"",'MH01'!B101)</f>
        <v/>
      </c>
      <c r="E76" s="79"/>
      <c r="F76" s="120"/>
      <c r="G76" s="110"/>
      <c r="H76" s="110"/>
      <c r="I76" s="110"/>
      <c r="J76" s="100"/>
      <c r="K76" s="1306"/>
      <c r="L76" s="1306"/>
      <c r="M76" s="1306"/>
      <c r="N76" s="1306"/>
      <c r="O76" s="1306"/>
      <c r="P76" s="1306"/>
    </row>
    <row r="77" spans="1:16" ht="9.75" customHeight="1" x14ac:dyDescent="0.2">
      <c r="A77" s="25" t="str">
        <f>IF(OR(ISBLANK('MH01'!A102),ISERROR('MH01'!A102)),"",'MH01'!A102)</f>
        <v/>
      </c>
      <c r="B77" s="139" t="str">
        <f>IF(OR(ISBLANK('MH01'!B102),ISERROR('MH01'!B102)),"",'MH01'!B102)</f>
        <v/>
      </c>
      <c r="E77" s="79"/>
      <c r="F77" s="76"/>
      <c r="G77" s="92"/>
      <c r="H77" s="92"/>
      <c r="I77" s="92"/>
      <c r="K77" s="1306"/>
      <c r="L77" s="1306"/>
      <c r="M77" s="1306"/>
      <c r="N77" s="1306"/>
      <c r="O77" s="1306"/>
      <c r="P77" s="1306"/>
    </row>
    <row r="78" spans="1:16" ht="4.5" customHeight="1" thickBot="1" x14ac:dyDescent="0.25">
      <c r="A78" s="25" t="str">
        <f>IF(OR(ISBLANK('MH01'!A103),ISERROR('MH01'!A103)),"",'MH01'!A103)</f>
        <v/>
      </c>
      <c r="B78" s="139" t="str">
        <f>IF(OR(ISBLANK('MH01'!B103),ISERROR('MH01'!B103)),"",'MH01'!B103)</f>
        <v/>
      </c>
      <c r="C78" s="66"/>
      <c r="D78" s="66"/>
      <c r="E78" s="66"/>
      <c r="F78" s="66"/>
      <c r="G78" s="66"/>
      <c r="H78" s="66"/>
      <c r="I78" s="66"/>
      <c r="J78" s="66"/>
      <c r="K78" s="1307"/>
      <c r="L78" s="1307"/>
      <c r="M78" s="1307"/>
      <c r="N78" s="1307"/>
      <c r="O78" s="1307"/>
      <c r="P78" s="1307"/>
    </row>
    <row r="79" spans="1:16" x14ac:dyDescent="0.2">
      <c r="A79" s="25" t="str">
        <f>IF(OR(ISBLANK('MH01'!A104),ISERROR('MH01'!A104)),"",'MH01'!A104)</f>
        <v/>
      </c>
      <c r="B79" s="139" t="str">
        <f>IF(OR(ISBLANK('MH01'!B104),ISERROR('MH01'!B104)),"",'MH01'!B104)</f>
        <v/>
      </c>
      <c r="C79" s="25" t="str">
        <f>IF(OR(ISBLANK('MH01'!C104),ISERROR('MH01'!C104)),"",'MH01'!C104)</f>
        <v/>
      </c>
      <c r="D79" s="25" t="str">
        <f>IF(OR(ISBLANK('MH01'!D104),ISERROR('MH01'!D104)),"",'MH01'!D104)</f>
        <v/>
      </c>
      <c r="E79" s="25" t="str">
        <f>IF(OR(ISBLANK('MH01'!E104),ISERROR('MH01'!E104)),"",'MH01'!E104)</f>
        <v/>
      </c>
      <c r="F79" s="25" t="str">
        <f>IF(OR(ISBLANK('MH01'!F104),ISERROR('MH01'!F104)),"",'MH01'!F104)</f>
        <v/>
      </c>
      <c r="G79" s="25" t="str">
        <f>IF(OR(ISBLANK('MH01'!G104),ISERROR('MH01'!G104)),"",'MH01'!G104)</f>
        <v/>
      </c>
      <c r="H79" s="25" t="str">
        <f>IF(OR(ISBLANK('MH01'!H104),ISERROR('MH01'!H104)),"",'MH01'!H104)</f>
        <v/>
      </c>
      <c r="I79" s="25" t="str">
        <f>IF(OR(ISBLANK('MH01'!I104),ISERROR('MH01'!I104)),"",'MH01'!I104)</f>
        <v/>
      </c>
      <c r="J79" s="25" t="str">
        <f>IF(OR(ISBLANK('MH01'!L104),ISERROR('MH01'!L104)),"",'MH01'!L104)</f>
        <v/>
      </c>
      <c r="K79" s="25" t="str">
        <f>IF(OR(ISBLANK('MH01'!M104),ISERROR('MH01'!M104)),"",'MH01'!M104)</f>
        <v/>
      </c>
      <c r="L79" s="25" t="str">
        <f>IF(OR(ISBLANK('MH01'!N104),ISERROR('MH01'!N104)),"",'MH01'!N104)</f>
        <v/>
      </c>
      <c r="M79" s="25" t="str">
        <f>IF(OR(ISBLANK('MH01'!O104),ISERROR('MH01'!O104)),"",'MH01'!O104)</f>
        <v/>
      </c>
      <c r="N79" s="25" t="str">
        <f>IF(OR(ISBLANK('MH01'!P104),ISERROR('MH01'!P104)),"",'MH01'!P104)</f>
        <v/>
      </c>
      <c r="O79" s="25" t="str">
        <f>IF(OR(ISBLANK('MH01'!Q104),ISERROR('MH01'!Q104)),"",'MH01'!Q104)</f>
        <v/>
      </c>
    </row>
    <row r="80" spans="1:16" x14ac:dyDescent="0.2">
      <c r="A80" s="25" t="str">
        <f>IF(OR(ISBLANK('MH01'!A105),ISERROR('MH01'!A105)),"",'MH01'!A105)</f>
        <v/>
      </c>
      <c r="B80" s="139" t="str">
        <f>IF(OR(ISBLANK('MH01'!B105),ISERROR('MH01'!B105)),"",'MH01'!B105)</f>
        <v/>
      </c>
      <c r="C80" s="25" t="str">
        <f>IF(OR(ISBLANK('MH01'!C105),ISERROR('MH01'!C105)),"",'MH01'!C105)</f>
        <v/>
      </c>
      <c r="D80" s="25" t="str">
        <f>IF(OR(ISBLANK('MH01'!D105),ISERROR('MH01'!D105)),"",'MH01'!D105)</f>
        <v/>
      </c>
      <c r="E80" s="25" t="str">
        <f>IF(OR(ISBLANK('MH01'!E105),ISERROR('MH01'!E105)),"",'MH01'!E105)</f>
        <v/>
      </c>
      <c r="F80" s="25" t="str">
        <f>IF(OR(ISBLANK('MH01'!F105),ISERROR('MH01'!F105)),"",'MH01'!F105)</f>
        <v/>
      </c>
      <c r="G80" s="25" t="str">
        <f>IF(OR(ISBLANK('MH01'!G105),ISERROR('MH01'!G105)),"",'MH01'!G105)</f>
        <v/>
      </c>
      <c r="H80" s="25" t="str">
        <f>IF(OR(ISBLANK('MH01'!H105),ISERROR('MH01'!H105)),"",'MH01'!H105)</f>
        <v/>
      </c>
      <c r="I80" s="25" t="str">
        <f>IF(OR(ISBLANK('MH01'!I105),ISERROR('MH01'!I105)),"",'MH01'!I105)</f>
        <v/>
      </c>
      <c r="J80" s="25" t="str">
        <f>IF(OR(ISBLANK('MH01'!L105),ISERROR('MH01'!L105)),"",'MH01'!L105)</f>
        <v/>
      </c>
      <c r="K80" s="25" t="str">
        <f>IF(OR(ISBLANK('MH01'!M105),ISERROR('MH01'!M105)),"",'MH01'!M105)</f>
        <v/>
      </c>
      <c r="L80" s="25" t="str">
        <f>IF(OR(ISBLANK('MH01'!N105),ISERROR('MH01'!N105)),"",'MH01'!N105)</f>
        <v/>
      </c>
      <c r="M80" s="25" t="str">
        <f>IF(OR(ISBLANK('MH01'!O105),ISERROR('MH01'!O105)),"",'MH01'!O105)</f>
        <v/>
      </c>
      <c r="N80" s="25" t="str">
        <f>IF(OR(ISBLANK('MH01'!P105),ISERROR('MH01'!P105)),"",'MH01'!P105)</f>
        <v/>
      </c>
      <c r="O80" s="25" t="str">
        <f>IF(OR(ISBLANK('MH01'!Q105),ISERROR('MH01'!Q105)),"",'MH01'!Q105)</f>
        <v/>
      </c>
    </row>
    <row r="81" spans="1:43" ht="16.5" customHeight="1" x14ac:dyDescent="0.2">
      <c r="A81" s="25" t="str">
        <f>IF(OR(ISBLANK('MH01'!A106),ISERROR('MH01'!A106)),"",'MH01'!A106)</f>
        <v/>
      </c>
      <c r="B81" s="792">
        <f>IF(OR(ISBLANK('MH01'!B106),ISERROR('MH01'!B106)),"",'MH01'!B106)</f>
        <v>5</v>
      </c>
      <c r="C81" s="1305" t="str">
        <f>IF(OR(ISBLANK('MH01'!C106),ISERROR('MH01'!C106)),"",'MH01'!C106)</f>
        <v>Informe resumido</v>
      </c>
      <c r="D81" s="1305"/>
      <c r="E81" s="1305"/>
      <c r="F81" s="1305"/>
      <c r="G81" s="1305"/>
      <c r="H81" s="1305"/>
      <c r="I81" s="122" t="str">
        <f>IF(OR(ISBLANK('MH01'!I106),ISERROR('MH01'!I106)),"",'MH01'!I106)</f>
        <v/>
      </c>
      <c r="J81" s="25" t="str">
        <f>IF(OR(ISBLANK('MH01'!L106),ISERROR('MH01'!L106)),"",'MH01'!L106)</f>
        <v/>
      </c>
      <c r="K81" s="25" t="str">
        <f>IF(OR(ISBLANK('MH01'!M106),ISERROR('MH01'!M106)),"",'MH01'!M106)</f>
        <v/>
      </c>
      <c r="L81" s="25" t="str">
        <f>IF(OR(ISBLANK('MH01'!N106),ISERROR('MH01'!N106)),"",'MH01'!N106)</f>
        <v/>
      </c>
      <c r="M81" s="25" t="str">
        <f>IF(OR(ISBLANK('MH01'!O106),ISERROR('MH01'!O106)),"",'MH01'!O106)</f>
        <v/>
      </c>
      <c r="N81" s="25" t="str">
        <f>IF(OR(ISBLANK('MH01'!P106),ISERROR('MH01'!P106)),"",'MH01'!P106)</f>
        <v/>
      </c>
      <c r="O81" s="25" t="str">
        <f>IF(OR(ISBLANK('MH01'!Q106),ISERROR('MH01'!Q106)),"",'MH01'!Q106)</f>
        <v/>
      </c>
    </row>
    <row r="82" spans="1:43" x14ac:dyDescent="0.2">
      <c r="A82" s="25" t="str">
        <f>IF(OR(ISBLANK('MH01'!A107),ISERROR('MH01'!A107)),"",'MH01'!A107)</f>
        <v/>
      </c>
      <c r="B82" s="139" t="str">
        <f>IF(OR(ISBLANK('MH01'!B107),ISERROR('MH01'!B107)),"",'MH01'!B107)</f>
        <v/>
      </c>
      <c r="C82" s="123" t="str">
        <f>IF(OR(ISBLANK('MH01'!C107),ISERROR('MH01'!C107)),"",'MH01'!C107)</f>
        <v># Estudio Transversal</v>
      </c>
      <c r="E82" s="25" t="str">
        <f>IF(OR(ISBLANK('MH01'!E107),ISERROR('MH01'!E107)),"",'MH01'!E107)</f>
        <v/>
      </c>
      <c r="F82" s="25" t="str">
        <f>IF(OR(ISBLANK('MH01'!F107),ISERROR('MH01'!F107)),"",'MH01'!F107)</f>
        <v/>
      </c>
      <c r="G82" s="25" t="str">
        <f>IF(OR(ISBLANK('MH01'!G107),ISERROR('MH01'!G107)),"",'MH01'!G107)</f>
        <v/>
      </c>
      <c r="H82" s="25" t="str">
        <f>IF(OR(ISBLANK('MH01'!H107),ISERROR('MH01'!H107)),"",'MH01'!H107)</f>
        <v/>
      </c>
      <c r="I82" s="25" t="str">
        <f>IF(OR(ISBLANK('MH01'!I107),ISERROR('MH01'!I107)),"",'MH01'!I107)</f>
        <v/>
      </c>
      <c r="J82" s="25" t="str">
        <f>IF(OR(ISBLANK('MH01'!L107),ISERROR('MH01'!L107)),"",'MH01'!L107)</f>
        <v/>
      </c>
      <c r="K82" s="25" t="str">
        <f>IF(OR(ISBLANK('MH01'!M107),ISERROR('MH01'!M107)),"",'MH01'!M107)</f>
        <v/>
      </c>
      <c r="L82" s="25" t="str">
        <f>IF(OR(ISBLANK('MH01'!N107),ISERROR('MH01'!N107)),"",'MH01'!N107)</f>
        <v/>
      </c>
      <c r="M82" s="25" t="str">
        <f>IF(OR(ISBLANK('MH01'!O107),ISERROR('MH01'!O107)),"",'MH01'!O107)</f>
        <v/>
      </c>
      <c r="N82" s="25" t="str">
        <f>IF(OR(ISBLANK('MH01'!P107),ISERROR('MH01'!P107)),"",'MH01'!P107)</f>
        <v/>
      </c>
      <c r="O82" s="25" t="str">
        <f>IF(OR(ISBLANK('MH01'!Q107),ISERROR('MH01'!Q107)),"",'MH01'!Q107)</f>
        <v/>
      </c>
    </row>
    <row r="83" spans="1:43" x14ac:dyDescent="0.2">
      <c r="A83" s="25" t="str">
        <f>IF(OR(ISBLANK('MH01'!A108),ISERROR('MH01'!A108)),"",'MH01'!A108)</f>
        <v/>
      </c>
      <c r="B83" s="139" t="str">
        <f>IF(OR(ISBLANK('MH01'!B108),ISERROR('MH01'!B108)),"",'MH01'!B108)</f>
        <v/>
      </c>
      <c r="C83" s="1304" t="str">
        <f>IF(OR(ISBLANK('MH01'!C108),ISERROR('MH01'!C108)),"",'MH01'!C108)</f>
        <v># Frecuencias observadas:</v>
      </c>
      <c r="D83" s="1304" t="str">
        <f>IF(OR(ISBLANK('MH01'!D108),ISERROR('MH01'!D108)),"",'MH01'!D108)</f>
        <v/>
      </c>
      <c r="E83" s="1304" t="str">
        <f>IF(OR(ISBLANK('MH01'!E108),ISERROR('MH01'!E108)),"",'MH01'!E108)</f>
        <v/>
      </c>
      <c r="F83" s="1304" t="str">
        <f>IF(OR(ISBLANK('MH01'!F108),ISERROR('MH01'!F108)),"",'MH01'!F108)</f>
        <v/>
      </c>
      <c r="G83" s="1304" t="str">
        <f>IF(OR(ISBLANK('MH01'!G108),ISERROR('MH01'!G108)),"",'MH01'!G108)</f>
        <v/>
      </c>
      <c r="H83" s="25" t="str">
        <f>IF(OR(ISBLANK('MH01'!H108),ISERROR('MH01'!H108)),"",'MH01'!H108)</f>
        <v/>
      </c>
      <c r="I83" s="27" t="str">
        <f>IF(OR(ISBLANK('MH01'!I108),ISERROR('MH01'!I108)),"",'MH01'!I108)</f>
        <v/>
      </c>
      <c r="J83" s="25" t="str">
        <f>IF(OR(ISBLANK('MH01'!L108),ISERROR('MH01'!L108)),"",'MH01'!L108)</f>
        <v/>
      </c>
      <c r="K83" s="25" t="str">
        <f>IF(OR(ISBLANK('MH01'!M108),ISERROR('MH01'!M108)),"",'MH01'!M108)</f>
        <v/>
      </c>
      <c r="L83" s="25" t="str">
        <f>IF(OR(ISBLANK('MH01'!N108),ISERROR('MH01'!N108)),"",'MH01'!N108)</f>
        <v/>
      </c>
      <c r="M83" s="25" t="str">
        <f>IF(OR(ISBLANK('MH01'!O108),ISERROR('MH01'!O108)),"",'MH01'!O108)</f>
        <v/>
      </c>
      <c r="N83" s="25" t="str">
        <f>IF(OR(ISBLANK('MH01'!P108),ISERROR('MH01'!P108)),"",'MH01'!P108)</f>
        <v/>
      </c>
      <c r="O83" s="25" t="str">
        <f>IF(OR(ISBLANK('MH01'!Q108),ISERROR('MH01'!Q108)),"",'MH01'!Q108)</f>
        <v/>
      </c>
    </row>
    <row r="84" spans="1:43" ht="13.5" thickBot="1" x14ac:dyDescent="0.25">
      <c r="A84" s="25" t="str">
        <f>IF(OR(ISBLANK('MH01'!A109),ISERROR('MH01'!A109)),"",'MH01'!A109)</f>
        <v/>
      </c>
      <c r="B84" s="1295" t="str">
        <f>IF(OR(ISBLANK('MH01'!B109),ISERROR('MH01'!B109)),"",'MH01'!B109)</f>
        <v/>
      </c>
      <c r="C84" s="25" t="str">
        <f>IF(OR(ISBLANK('MH01'!C109),ISERROR('MH01'!C109)),"",'MH01'!C109)</f>
        <v/>
      </c>
      <c r="D84" s="25" t="str">
        <f>IF(OR(ISBLANK('MH01'!D109),ISERROR('MH01'!D109)),"",'MH01'!D109)</f>
        <v/>
      </c>
      <c r="E84" s="1296" t="str">
        <f>IF(OR(ISBLANK('MH01'!E109),ISERROR('MH01'!E109)),"",'MH01'!E109)</f>
        <v>Droga</v>
      </c>
      <c r="F84" s="1296"/>
      <c r="G84" s="25" t="str">
        <f>IF(OR(ISBLANK('MH01'!G109),ISERROR('MH01'!G109)),"",'MH01'!G109)</f>
        <v/>
      </c>
      <c r="H84" s="25" t="str">
        <f>IF(OR(ISBLANK('MH01'!H109),ISERROR('MH01'!H109)),"",'MH01'!H109)</f>
        <v/>
      </c>
      <c r="I84" s="27" t="str">
        <f>IF(OR(ISBLANK('MH01'!I109),ISERROR('MH01'!I109)),"",'MH01'!I109)</f>
        <v/>
      </c>
      <c r="J84" s="25" t="str">
        <f>IF(OR(ISBLANK('MH01'!L109),ISERROR('MH01'!L109)),"",'MH01'!L109)</f>
        <v/>
      </c>
      <c r="K84" s="25" t="str">
        <f>IF(OR(ISBLANK('MH01'!M109),ISERROR('MH01'!M109)),"",'MH01'!M109)</f>
        <v/>
      </c>
      <c r="L84" s="25" t="str">
        <f>IF(OR(ISBLANK('MH01'!N109),ISERROR('MH01'!N109)),"",'MH01'!N109)</f>
        <v/>
      </c>
      <c r="M84" s="25" t="str">
        <f>IF(OR(ISBLANK('MH01'!O109),ISERROR('MH01'!O109)),"",'MH01'!O109)</f>
        <v/>
      </c>
      <c r="N84" s="25" t="str">
        <f>IF(OR(ISBLANK('MH01'!P109),ISERROR('MH01'!P109)),"",'MH01'!P109)</f>
        <v/>
      </c>
      <c r="O84" s="25" t="str">
        <f>IF(OR(ISBLANK('MH01'!Q109),ISERROR('MH01'!Q109)),"",'MH01'!Q109)</f>
        <v/>
      </c>
    </row>
    <row r="85" spans="1:43" ht="13.5" thickBot="1" x14ac:dyDescent="0.25">
      <c r="A85" s="25" t="str">
        <f>IF(OR(ISBLANK('MH01'!A110),ISERROR('MH01'!A110)),"",'MH01'!A110)</f>
        <v/>
      </c>
      <c r="B85" s="1295" t="str">
        <f>IF(OR(ISBLANK('MH01'!B110),ISERROR('MH01'!B110)),"",'MH01'!B110)</f>
        <v/>
      </c>
      <c r="C85" s="66" t="str">
        <f>IF(OR(ISBLANK('MH01'!C110),ISERROR('MH01'!C110)),"",'MH01'!C110)</f>
        <v/>
      </c>
      <c r="D85" s="66" t="str">
        <f>IF(OR(ISBLANK('MH01'!D110),ISERROR('MH01'!D110)),"",'MH01'!D110)</f>
        <v/>
      </c>
      <c r="E85" s="482" t="str">
        <f>IF(OR(ISBLANK('MH01'!E110),ISERROR('MH01'!E110)),"",'MH01'!E110)</f>
        <v>Fenilepinefrina</v>
      </c>
      <c r="F85" s="482" t="str">
        <f>IF(OR(ISBLANK('MH01'!F110),ISERROR('MH01'!F110)),"",'MH01'!F110)</f>
        <v>Norepinefrina</v>
      </c>
      <c r="G85" s="125" t="str">
        <f>IF(OR(ISBLANK('MH01'!G110),ISERROR('MH01'!G110)),"",'MH01'!G110)</f>
        <v>Total</v>
      </c>
      <c r="H85" s="25" t="str">
        <f>IF(OR(ISBLANK('MH01'!H110),ISERROR('MH01'!H110)),"",'MH01'!H110)</f>
        <v/>
      </c>
      <c r="I85" s="27" t="str">
        <f>IF(OR(ISBLANK('MH01'!I110),ISERROR('MH01'!I110)),"",'MH01'!I110)</f>
        <v/>
      </c>
      <c r="J85" s="25" t="str">
        <f>IF(OR(ISBLANK('MH01'!L110),ISERROR('MH01'!L110)),"",'MH01'!L110)</f>
        <v/>
      </c>
      <c r="K85" s="25" t="str">
        <f>IF(OR(ISBLANK('MH01'!M110),ISERROR('MH01'!M110)),"",'MH01'!M110)</f>
        <v/>
      </c>
      <c r="L85" s="25" t="str">
        <f>IF(OR(ISBLANK('MH01'!N110),ISERROR('MH01'!N110)),"",'MH01'!N110)</f>
        <v/>
      </c>
      <c r="M85" s="25" t="str">
        <f>IF(OR(ISBLANK('MH01'!O110),ISERROR('MH01'!O110)),"",'MH01'!O110)</f>
        <v/>
      </c>
      <c r="N85" s="25" t="str">
        <f>IF(OR(ISBLANK('MH01'!P110),ISERROR('MH01'!P110)),"",'MH01'!P110)</f>
        <v/>
      </c>
      <c r="O85" s="25" t="str">
        <f>IF(OR(ISBLANK('MH01'!Q110),ISERROR('MH01'!Q110)),"",'MH01'!Q110)</f>
        <v/>
      </c>
    </row>
    <row r="86" spans="1:43" x14ac:dyDescent="0.2">
      <c r="A86" s="25" t="str">
        <f>IF(OR(ISBLANK('MH01'!A111),ISERROR('MH01'!A111)),"",'MH01'!A111)</f>
        <v/>
      </c>
      <c r="B86" s="1295" t="str">
        <f>IF(OR(ISBLANK('MH01'!B111),ISERROR('MH01'!B111)),"",'MH01'!B111)</f>
        <v/>
      </c>
      <c r="C86" s="483" t="str">
        <f>IF(OR(ISBLANK('MH01'!C111),ISERROR('MH01'!C111)),"",'MH01'!C111)</f>
        <v xml:space="preserve">Bradicardia   </v>
      </c>
      <c r="D86" s="481" t="str">
        <f>IF(OR(ISBLANK('MH01'!D111),ISERROR('MH01'!D111)),"",'MH01'!D111)</f>
        <v>Si</v>
      </c>
      <c r="E86" s="102">
        <f>IF(OR(ISBLANK('MH01'!E111),ISERROR('MH01'!E111)),"",'MH01'!E111)</f>
        <v>75</v>
      </c>
      <c r="F86" s="102">
        <f>IF(OR(ISBLANK('MH01'!F111),ISERROR('MH01'!F111)),"",'MH01'!F111)</f>
        <v>25</v>
      </c>
      <c r="G86" s="25">
        <f>IF(OR(ISBLANK('MH01'!G111),ISERROR('MH01'!G111)),"",'MH01'!G111)</f>
        <v>100</v>
      </c>
      <c r="H86" s="25" t="str">
        <f>IF(OR(ISBLANK('MH01'!H111),ISERROR('MH01'!H111)),"",'MH01'!H111)</f>
        <v/>
      </c>
      <c r="I86" s="25" t="str">
        <f>IF(OR(ISBLANK('MH01'!I111),ISERROR('MH01'!I111)),"",'MH01'!I111)</f>
        <v/>
      </c>
      <c r="J86" s="25" t="str">
        <f>IF(OR(ISBLANK('MH01'!L111),ISERROR('MH01'!L111)),"",'MH01'!L111)</f>
        <v/>
      </c>
      <c r="K86" s="25" t="str">
        <f>IF(OR(ISBLANK('MH01'!M111),ISERROR('MH01'!M111)),"",'MH01'!M111)</f>
        <v/>
      </c>
      <c r="L86" s="25" t="str">
        <f>IF(OR(ISBLANK('MH01'!N111),ISERROR('MH01'!N111)),"",'MH01'!N111)</f>
        <v/>
      </c>
      <c r="M86" s="25" t="str">
        <f>IF(OR(ISBLANK('MH01'!O111),ISERROR('MH01'!O111)),"",'MH01'!O111)</f>
        <v/>
      </c>
      <c r="N86" s="25" t="str">
        <f>IF(OR(ISBLANK('MH01'!P111),ISERROR('MH01'!P111)),"",'MH01'!P111)</f>
        <v/>
      </c>
      <c r="O86" s="25" t="str">
        <f>IF(OR(ISBLANK('MH01'!Q111),ISERROR('MH01'!Q111)),"",'MH01'!Q111)</f>
        <v/>
      </c>
    </row>
    <row r="87" spans="1:43" ht="13.5" thickBot="1" x14ac:dyDescent="0.25">
      <c r="A87" s="25" t="str">
        <f>IF(OR(ISBLANK('MH01'!A112),ISERROR('MH01'!A112)),"",'MH01'!A112)</f>
        <v/>
      </c>
      <c r="B87" s="1295" t="str">
        <f>IF(OR(ISBLANK('MH01'!B112),ISERROR('MH01'!B112)),"",'MH01'!B112)</f>
        <v/>
      </c>
      <c r="C87" s="484" t="str">
        <f>IF(OR(ISBLANK('MH01'!C112),ISERROR('MH01'!C112)),"",'MH01'!C112)</f>
        <v/>
      </c>
      <c r="D87" s="126" t="str">
        <f>IF(OR(ISBLANK('MH01'!D112),ISERROR('MH01'!D112)),"",'MH01'!D112)</f>
        <v>No</v>
      </c>
      <c r="E87" s="482">
        <f>IF(OR(ISBLANK('MH01'!E112),ISERROR('MH01'!E112)),"",'MH01'!E112)</f>
        <v>30</v>
      </c>
      <c r="F87" s="482">
        <f>IF(OR(ISBLANK('MH01'!F112),ISERROR('MH01'!F112)),"",'MH01'!F112)</f>
        <v>90</v>
      </c>
      <c r="G87" s="66">
        <f>IF(OR(ISBLANK('MH01'!G112),ISERROR('MH01'!G112)),"",'MH01'!G112)</f>
        <v>120</v>
      </c>
      <c r="H87" s="25" t="str">
        <f>IF(OR(ISBLANK('MH01'!H112),ISERROR('MH01'!H112)),"",'MH01'!H112)</f>
        <v/>
      </c>
      <c r="I87" s="25" t="str">
        <f>IF(OR(ISBLANK('MH01'!I112),ISERROR('MH01'!I112)),"",'MH01'!I112)</f>
        <v/>
      </c>
      <c r="J87" s="25" t="str">
        <f>IF(OR(ISBLANK('MH01'!L112),ISERROR('MH01'!L112)),"",'MH01'!L112)</f>
        <v/>
      </c>
      <c r="K87" s="25" t="str">
        <f>IF(OR(ISBLANK('MH01'!M112),ISERROR('MH01'!M112)),"",'MH01'!M112)</f>
        <v/>
      </c>
      <c r="L87" s="25" t="str">
        <f>IF(OR(ISBLANK('MH01'!N112),ISERROR('MH01'!N112)),"",'MH01'!N112)</f>
        <v/>
      </c>
      <c r="M87" s="25" t="str">
        <f>IF(OR(ISBLANK('MH01'!O112),ISERROR('MH01'!O112)),"",'MH01'!O112)</f>
        <v/>
      </c>
      <c r="N87" s="25" t="str">
        <f>IF(OR(ISBLANK('MH01'!P112),ISERROR('MH01'!P112)),"",'MH01'!P112)</f>
        <v/>
      </c>
      <c r="O87" s="25" t="str">
        <f>IF(OR(ISBLANK('MH01'!Q112),ISERROR('MH01'!Q112)),"",'MH01'!Q112)</f>
        <v/>
      </c>
    </row>
    <row r="88" spans="1:43" x14ac:dyDescent="0.2">
      <c r="A88" s="25" t="str">
        <f>IF(OR(ISBLANK('MH01'!A113),ISERROR('MH01'!A113)),"",'MH01'!A113)</f>
        <v/>
      </c>
      <c r="B88" s="1295" t="str">
        <f>IF(OR(ISBLANK('MH01'!B113),ISERROR('MH01'!B113)),"",'MH01'!B113)</f>
        <v/>
      </c>
      <c r="C88" s="25" t="str">
        <f>IF(OR(ISBLANK('MH01'!C113),ISERROR('MH01'!C113)),"",'MH01'!C113)</f>
        <v/>
      </c>
      <c r="D88" s="25" t="str">
        <f>IF(OR(ISBLANK('MH01'!D113),ISERROR('MH01'!D113)),"",'MH01'!D113)</f>
        <v>Total</v>
      </c>
      <c r="E88" s="102">
        <f>IF(OR(ISBLANK('MH01'!E113),ISERROR('MH01'!E113)),"",'MH01'!E113)</f>
        <v>105</v>
      </c>
      <c r="F88" s="102">
        <f>IF(OR(ISBLANK('MH01'!F113),ISERROR('MH01'!F113)),"",'MH01'!F113)</f>
        <v>115</v>
      </c>
      <c r="G88" s="25">
        <f>IF(OR(ISBLANK('MH01'!G113),ISERROR('MH01'!G113)),"",'MH01'!G113)</f>
        <v>220</v>
      </c>
      <c r="H88" s="25" t="str">
        <f>IF(OR(ISBLANK('MH01'!H113),ISERROR('MH01'!H113)),"",'MH01'!H113)</f>
        <v/>
      </c>
      <c r="I88" s="25" t="str">
        <f>IF(OR(ISBLANK('MH01'!I113),ISERROR('MH01'!I113)),"",'MH01'!I113)</f>
        <v/>
      </c>
      <c r="J88" s="25" t="str">
        <f>IF(OR(ISBLANK('MH01'!L113),ISERROR('MH01'!L113)),"",'MH01'!L113)</f>
        <v/>
      </c>
      <c r="K88" s="25" t="str">
        <f>IF(OR(ISBLANK('MH01'!M113),ISERROR('MH01'!M113)),"",'MH01'!M113)</f>
        <v/>
      </c>
      <c r="L88" s="25" t="str">
        <f>IF(OR(ISBLANK('MH01'!N113),ISERROR('MH01'!N113)),"",'MH01'!N113)</f>
        <v/>
      </c>
      <c r="M88" s="25" t="str">
        <f>IF(OR(ISBLANK('MH01'!O113),ISERROR('MH01'!O113)),"",'MH01'!O113)</f>
        <v/>
      </c>
      <c r="N88" s="25" t="str">
        <f>IF(OR(ISBLANK('MH01'!P113),ISERROR('MH01'!P113)),"",'MH01'!P113)</f>
        <v/>
      </c>
      <c r="O88" s="25" t="str">
        <f>IF(OR(ISBLANK('MH01'!Q113),ISERROR('MH01'!Q113)),"",'MH01'!Q113)</f>
        <v/>
      </c>
    </row>
    <row r="89" spans="1:43" ht="6" customHeight="1" x14ac:dyDescent="0.2">
      <c r="A89" s="172" t="str">
        <f>IF(OR(ISBLANK('MH01'!A114),ISERROR('MH01'!A114)),"",'MH01'!A114)</f>
        <v/>
      </c>
      <c r="B89" s="1295" t="str">
        <f>IF(OR(ISBLANK('MH01'!B114),ISERROR('MH01'!B114)),"",'MH01'!B114)</f>
        <v/>
      </c>
      <c r="C89" s="25" t="str">
        <f>IF(OR(ISBLANK('MH01'!C114),ISERROR('MH01'!C114)),"",'MH01'!C114)</f>
        <v/>
      </c>
      <c r="D89" s="25" t="str">
        <f>IF(OR(ISBLANK('MH01'!D114),ISERROR('MH01'!D114)),"",'MH01'!D114)</f>
        <v/>
      </c>
      <c r="E89" s="25" t="str">
        <f>IF(OR(ISBLANK('MH01'!E114),ISERROR('MH01'!E114)),"",'MH01'!E114)</f>
        <v/>
      </c>
      <c r="F89" s="25" t="str">
        <f>IF(OR(ISBLANK('MH01'!F114),ISERROR('MH01'!F114)),"",'MH01'!F114)</f>
        <v/>
      </c>
      <c r="G89" s="25" t="str">
        <f>IF(OR(ISBLANK('MH01'!G114),ISERROR('MH01'!G114)),"",'MH01'!G114)</f>
        <v/>
      </c>
      <c r="H89" s="25" t="str">
        <f>IF(OR(ISBLANK('MH01'!H114),ISERROR('MH01'!H114)),"",'MH01'!H114)</f>
        <v/>
      </c>
      <c r="I89" s="25" t="str">
        <f>IF(OR(ISBLANK('MH01'!I114),ISERROR('MH01'!I114)),"",'MH01'!I114)</f>
        <v/>
      </c>
      <c r="J89" s="25" t="str">
        <f>IF(OR(ISBLANK('MH01'!L114),ISERROR('MH01'!L114)),"",'MH01'!L114)</f>
        <v/>
      </c>
      <c r="K89" s="25" t="str">
        <f>IF(OR(ISBLANK('MH01'!M114),ISERROR('MH01'!M114)),"",'MH01'!M114)</f>
        <v/>
      </c>
      <c r="L89" s="25" t="str">
        <f>IF(OR(ISBLANK('MH01'!N114),ISERROR('MH01'!N114)),"",'MH01'!N114)</f>
        <v/>
      </c>
      <c r="M89" s="25" t="str">
        <f>IF(OR(ISBLANK('MH01'!O114),ISERROR('MH01'!O114)),"",'MH01'!O114)</f>
        <v/>
      </c>
      <c r="N89" s="25" t="str">
        <f>IF(OR(ISBLANK('MH01'!P114),ISERROR('MH01'!P114)),"",'MH01'!P114)</f>
        <v/>
      </c>
      <c r="O89" s="25" t="str">
        <f>IF(OR(ISBLANK('MH01'!Q114),ISERROR('MH01'!Q114)),"",'MH01'!Q114)</f>
        <v/>
      </c>
    </row>
    <row r="90" spans="1:43" x14ac:dyDescent="0.2">
      <c r="A90" s="25" t="str">
        <f>IF(OR(ISBLANK('MH01'!A115),ISERROR('MH01'!A115)),"",'MH01'!A115)</f>
        <v/>
      </c>
      <c r="B90" s="1295" t="str">
        <f>IF(OR(ISBLANK('MH01'!B115),ISERROR('MH01'!B115)),"",'MH01'!B115)</f>
        <v/>
      </c>
      <c r="C90" s="27" t="str">
        <f>IF(OR(ISBLANK('MH01'!C115),ISERROR('MH01'!C115)),"",'MH01'!C115)</f>
        <v># Test</v>
      </c>
      <c r="D90" s="171" t="s">
        <v>83</v>
      </c>
      <c r="E90" s="85" t="str">
        <f>IF(OR(ISBLANK('MH01'!E115),ISERROR('MH01'!E115)),"",'MH01'!E115)</f>
        <v>P</v>
      </c>
      <c r="F90" s="27"/>
      <c r="G90" s="85" t="str">
        <f>IF(OR(ISBLANK('MH01'!G115),ISERROR('MH01'!G115)),"",'MH01'!G115)</f>
        <v>Min Frec. Esp.</v>
      </c>
      <c r="H90" s="25" t="str">
        <f>IF(OR(ISBLANK('MH01'!H115),ISERROR('MH01'!H115)),"",'MH01'!H115)</f>
        <v/>
      </c>
      <c r="I90" s="25" t="str">
        <f>IF(OR(ISBLANK('MH01'!I115),ISERROR('MH01'!I115)),"",'MH01'!I115)</f>
        <v/>
      </c>
      <c r="J90" s="25" t="str">
        <f>IF(OR(ISBLANK('MH01'!L115),ISERROR('MH01'!L115)),"",'MH01'!L115)</f>
        <v/>
      </c>
      <c r="K90" s="25" t="str">
        <f>IF(OR(ISBLANK('MH01'!M115),ISERROR('MH01'!M115)),"",'MH01'!M115)</f>
        <v/>
      </c>
      <c r="L90" s="25" t="str">
        <f>IF(OR(ISBLANK('MH01'!N115),ISERROR('MH01'!N115)),"",'MH01'!N115)</f>
        <v/>
      </c>
      <c r="M90" s="25" t="str">
        <f>IF(OR(ISBLANK('MH01'!O115),ISERROR('MH01'!O115)),"",'MH01'!O115)</f>
        <v/>
      </c>
      <c r="N90" s="25" t="str">
        <f>IF(OR(ISBLANK('MH01'!P115),ISERROR('MH01'!P115)),"",'MH01'!P115)</f>
        <v/>
      </c>
      <c r="O90" s="25" t="str">
        <f>IF(OR(ISBLANK('MH01'!Q115),ISERROR('MH01'!Q115)),"",'MH01'!Q115)</f>
        <v/>
      </c>
      <c r="AM90" s="127"/>
      <c r="AN90" s="127"/>
      <c r="AO90" s="128"/>
      <c r="AP90" s="128"/>
      <c r="AQ90" s="127"/>
    </row>
    <row r="91" spans="1:43" ht="15.75" customHeight="1" x14ac:dyDescent="0.2">
      <c r="A91" s="25" t="str">
        <f>IF(OR(ISBLANK('MH01'!A116),ISERROR('MH01'!A116)),"",'MH01'!A116)</f>
        <v/>
      </c>
      <c r="B91" s="1295" t="str">
        <f>IF(OR(ISBLANK('MH01'!B116),ISERROR('MH01'!B116)),"",'MH01'!B116)</f>
        <v/>
      </c>
      <c r="C91" s="170" t="s">
        <v>81</v>
      </c>
      <c r="D91" s="129">
        <f>IF(OR(ISBLANK('MH01'!D116),ISERROR('MH01'!D116)),"",'MH01'!D116)</f>
        <v>54.64927574189096</v>
      </c>
      <c r="E91" s="94">
        <f>IF(OR(ISBLANK('MH01'!E116),ISERROR('MH01'!E116)),"",'MH01'!E116)</f>
        <v>1.4407740751515328E-13</v>
      </c>
      <c r="F91" s="105" t="str">
        <f>IF(OR(ISBLANK('MH01'!F116),ISERROR('MH01'!F116)),"",'MH01'!F116)</f>
        <v/>
      </c>
      <c r="G91" s="130">
        <f>IF(OR(ISBLANK('MH01'!G116),ISERROR('MH01'!G116)),"",'MH01'!G116)</f>
        <v>47.727272727272727</v>
      </c>
      <c r="H91" s="25" t="str">
        <f>IF(OR(ISBLANK('MH01'!H116),ISERROR('MH01'!H116)),"",'MH01'!H116)</f>
        <v/>
      </c>
      <c r="I91" s="25" t="str">
        <f>IF(OR(ISBLANK('MH01'!I116),ISERROR('MH01'!I116)),"",'MH01'!I116)</f>
        <v/>
      </c>
      <c r="J91" s="25" t="str">
        <f>IF(OR(ISBLANK('MH01'!L116),ISERROR('MH01'!L116)),"",'MH01'!L116)</f>
        <v/>
      </c>
      <c r="K91" s="25" t="str">
        <f>IF(OR(ISBLANK('MH01'!M116),ISERROR('MH01'!M116)),"",'MH01'!M116)</f>
        <v/>
      </c>
      <c r="L91" s="25" t="str">
        <f>IF(OR(ISBLANK('MH01'!N116),ISERROR('MH01'!N116)),"",'MH01'!N116)</f>
        <v/>
      </c>
      <c r="M91" s="25" t="str">
        <f>IF(OR(ISBLANK('MH01'!O116),ISERROR('MH01'!O116)),"",'MH01'!O116)</f>
        <v/>
      </c>
      <c r="N91" s="25" t="str">
        <f>IF(OR(ISBLANK('MH01'!P116),ISERROR('MH01'!P116)),"",'MH01'!P116)</f>
        <v/>
      </c>
      <c r="O91" s="25" t="str">
        <f>IF(OR(ISBLANK('MH01'!Q116),ISERROR('MH01'!Q116)),"",'MH01'!Q116)</f>
        <v/>
      </c>
      <c r="AM91" s="127"/>
      <c r="AN91" s="127"/>
      <c r="AO91" s="128"/>
      <c r="AP91" s="128"/>
      <c r="AQ91" s="127"/>
    </row>
    <row r="92" spans="1:43" s="190" customFormat="1" ht="16.5" customHeight="1" x14ac:dyDescent="0.2">
      <c r="A92" s="190" t="str">
        <f>IF(OR(ISBLANK('MH01'!A117),ISERROR('MH01'!A117)),"",'MH01'!A117)</f>
        <v/>
      </c>
      <c r="B92" s="1295" t="str">
        <f>IF(OR(ISBLANK('MH01'!B117),ISERROR('MH01'!B117)),"",'MH01'!B117)</f>
        <v/>
      </c>
      <c r="C92" s="343" t="s">
        <v>82</v>
      </c>
      <c r="D92" s="344">
        <f>IF(OR(ISBLANK('MH01'!D117),ISERROR('MH01'!D117)),"",'MH01'!D117)</f>
        <v>54.658385093167702</v>
      </c>
      <c r="E92" s="344">
        <f>IF(OR(ISBLANK('MH01'!E117),ISERROR('MH01'!E117)),"",'MH01'!E117)</f>
        <v>1.4341112392065926E-13</v>
      </c>
      <c r="F92" s="345" t="str">
        <f>IF(OR(ISBLANK('MH01'!F117),ISERROR('MH01'!F117)),"",'MH01'!F117)</f>
        <v/>
      </c>
      <c r="G92" s="345" t="str">
        <f>IF(OR(ISBLANK('MH01'!G117),ISERROR('MH01'!G117)),"",'MH01'!G117)</f>
        <v/>
      </c>
      <c r="H92" s="190" t="str">
        <f>IF(OR(ISBLANK('MH01'!H117),ISERROR('MH01'!H117)),"",'MH01'!H117)</f>
        <v/>
      </c>
      <c r="I92" s="190" t="str">
        <f>IF(OR(ISBLANK('MH01'!I117),ISERROR('MH01'!I117)),"",'MH01'!I117)</f>
        <v/>
      </c>
      <c r="J92" s="190" t="str">
        <f>IF(OR(ISBLANK('MH01'!L117),ISERROR('MH01'!L117)),"",'MH01'!L117)</f>
        <v/>
      </c>
      <c r="K92" s="190" t="str">
        <f>IF(OR(ISBLANK('MH01'!M117),ISERROR('MH01'!M117)),"",'MH01'!M117)</f>
        <v/>
      </c>
      <c r="L92" s="190" t="str">
        <f>IF(OR(ISBLANK('MH01'!N117),ISERROR('MH01'!N117)),"",'MH01'!N117)</f>
        <v/>
      </c>
      <c r="M92" s="190" t="str">
        <f>IF(OR(ISBLANK('MH01'!O117),ISERROR('MH01'!O117)),"",'MH01'!O117)</f>
        <v/>
      </c>
      <c r="N92" s="190" t="str">
        <f>IF(OR(ISBLANK('MH01'!P117),ISERROR('MH01'!P117)),"",'MH01'!P117)</f>
        <v/>
      </c>
      <c r="O92" s="190" t="str">
        <f>IF(OR(ISBLANK('MH01'!Q117),ISERROR('MH01'!Q117)),"",'MH01'!Q117)</f>
        <v/>
      </c>
      <c r="S92" s="193"/>
      <c r="T92" s="193"/>
      <c r="AM92" s="194"/>
      <c r="AN92" s="194"/>
      <c r="AO92" s="195"/>
      <c r="AP92" s="195"/>
      <c r="AQ92" s="194"/>
    </row>
    <row r="93" spans="1:43" s="190" customFormat="1" ht="16.5" customHeight="1" x14ac:dyDescent="0.2">
      <c r="B93" s="1295"/>
      <c r="C93" s="344" t="str">
        <f>IF(OR(ISBLANK('MH01'!C118),ISERROR('MH01'!C118)),"",'MH01'!C118)</f>
        <v>Fisher (1/2 colas)</v>
      </c>
      <c r="D93" s="344" t="str">
        <f>IF(OR(ISBLANK('MH01'!D118),ISERROR('MH01'!D118)),"",'MH01'!D118)</f>
        <v/>
      </c>
      <c r="E93" s="455" t="str">
        <f>IF(OR(ISBLANK('MH01'!E118),ISERROR('MH01'!E118)),"",'MH01'!E118)</f>
        <v>-</v>
      </c>
      <c r="F93" s="455" t="str">
        <f>IF(OR(ISBLANK('MH01'!F118),ISERROR('MH01'!F118)),"",'MH01'!F118)</f>
        <v>-</v>
      </c>
      <c r="G93" s="344" t="str">
        <f>IF(OR(ISBLANK('MH01'!G118),ISERROR('MH01'!G118)),"",'MH01'!G118)</f>
        <v/>
      </c>
      <c r="I93" s="192"/>
      <c r="S93" s="193"/>
      <c r="T93" s="193"/>
      <c r="AM93" s="194"/>
      <c r="AN93" s="194"/>
      <c r="AO93" s="195"/>
      <c r="AP93" s="195"/>
      <c r="AQ93" s="194"/>
    </row>
    <row r="94" spans="1:43" s="190" customFormat="1" ht="7.5" customHeight="1" x14ac:dyDescent="0.2">
      <c r="B94" s="1295"/>
      <c r="C94" s="346"/>
      <c r="D94" s="346"/>
      <c r="E94" s="346"/>
      <c r="F94" s="347"/>
      <c r="G94" s="346"/>
      <c r="S94" s="193"/>
      <c r="T94" s="193"/>
      <c r="AM94" s="194"/>
      <c r="AN94" s="194"/>
      <c r="AO94" s="195"/>
      <c r="AP94" s="195"/>
      <c r="AQ94" s="194"/>
    </row>
    <row r="95" spans="1:43" ht="15" customHeight="1" x14ac:dyDescent="0.2">
      <c r="A95" s="25" t="str">
        <f>IF(OR(ISBLANK('MH01'!A120),ISERROR('MH01'!A120)),"",'MH01'!A120)</f>
        <v/>
      </c>
      <c r="B95" s="1295" t="str">
        <f>IF(OR(ISBLANK('MH01'!B120),ISERROR('MH01'!B120)),"",'MH01'!B120)</f>
        <v/>
      </c>
      <c r="C95" s="99" t="str">
        <f>IF(OR(ISBLANK('MH01'!C120),ISERROR('MH01'!C120)),"",'MH01'!C120)</f>
        <v># Medidas:</v>
      </c>
      <c r="D95" s="99" t="str">
        <f>IF(OR(ISBLANK('MH01'!D120),ISERROR('MH01'!D120)),"",'MH01'!D120)</f>
        <v/>
      </c>
      <c r="E95" s="131" t="str">
        <f>IF(OR(ISBLANK('MH01'!E120),ISERROR('MH01'!E120)),"",'MH01'!E120)</f>
        <v>valor</v>
      </c>
      <c r="F95" s="1297" t="str">
        <f>IF(OR(ISBLANK('MH01'!F120),ISERROR('MH01'!F120)),"",'MH01'!F120)</f>
        <v>95%-IC</v>
      </c>
      <c r="G95" s="1297" t="str">
        <f>IF(OR(ISBLANK('MH01'!G120),ISERROR('MH01'!G120)),"",'MH01'!G120)</f>
        <v/>
      </c>
      <c r="H95" s="25" t="str">
        <f>IF(OR(ISBLANK('MH01'!H120),ISERROR('MH01'!H120)),"",'MH01'!H120)</f>
        <v/>
      </c>
      <c r="I95" s="788"/>
      <c r="J95" s="25" t="str">
        <f>IF(OR(ISBLANK('MH01'!L120),ISERROR('MH01'!L120)),"",'MH01'!L120)</f>
        <v/>
      </c>
      <c r="K95" s="25" t="str">
        <f>IF(OR(ISBLANK('MH01'!M120),ISERROR('MH01'!M120)),"",'MH01'!M120)</f>
        <v/>
      </c>
      <c r="L95" s="25" t="str">
        <f>IF(OR(ISBLANK('MH01'!N120),ISERROR('MH01'!N120)),"",'MH01'!N120)</f>
        <v/>
      </c>
      <c r="M95" s="25" t="str">
        <f>IF(OR(ISBLANK('MH01'!O120),ISERROR('MH01'!O120)),"",'MH01'!O120)</f>
        <v/>
      </c>
      <c r="N95" s="25" t="str">
        <f>IF(OR(ISBLANK('MH01'!P120),ISERROR('MH01'!P120)),"",'MH01'!P120)</f>
        <v/>
      </c>
      <c r="O95" s="25" t="str">
        <f>IF(OR(ISBLANK('MH01'!Q120),ISERROR('MH01'!Q120)),"",'MH01'!Q120)</f>
        <v/>
      </c>
      <c r="AM95" s="127"/>
      <c r="AN95" s="127"/>
      <c r="AO95" s="128"/>
      <c r="AP95" s="128"/>
      <c r="AQ95" s="127"/>
    </row>
    <row r="96" spans="1:43" x14ac:dyDescent="0.2">
      <c r="A96" s="25" t="str">
        <f>IF(OR(ISBLANK('MH01'!A121),ISERROR('MH01'!A121)),"",'MH01'!A121)</f>
        <v/>
      </c>
      <c r="B96" s="1295" t="str">
        <f>IF(OR(ISBLANK('MH01'!B121),ISERROR('MH01'!B121)),"",'MH01'!B121)</f>
        <v/>
      </c>
      <c r="C96" s="25" t="str">
        <f>IF(OR(ISBLANK('MH01'!C121),ISERROR('MH01'!C121)),"",'MH01'!C121)</f>
        <v>Diferencia de Berkson</v>
      </c>
      <c r="E96" s="132">
        <f>IF(OR(ISBLANK('MH01'!E121),ISERROR('MH01'!E121)),"",'MH01'!E121)</f>
        <v>0.49689440993788825</v>
      </c>
      <c r="F96" s="1298" t="str">
        <f>IF(OR(ISBLANK('MH01'!F121),ISERROR('MH01'!F121)),"",'MH01'!F121)</f>
        <v>(0,373; 0,621)</v>
      </c>
      <c r="G96" s="1298" t="str">
        <f>IF(OR(ISBLANK('MH01'!G121),ISERROR('MH01'!G121)),"",'MH01'!G121)</f>
        <v/>
      </c>
      <c r="H96" s="25" t="str">
        <f>IF(OR(ISBLANK('MH01'!H121),ISERROR('MH01'!H121)),"",'MH01'!H121)</f>
        <v/>
      </c>
      <c r="I96" s="786"/>
      <c r="J96" s="83"/>
      <c r="K96" s="76"/>
      <c r="AM96" s="127"/>
      <c r="AN96" s="127"/>
      <c r="AO96" s="128"/>
      <c r="AP96" s="128"/>
      <c r="AQ96" s="127"/>
    </row>
    <row r="97" spans="1:43" x14ac:dyDescent="0.2">
      <c r="A97" s="25" t="str">
        <f>IF(OR(ISBLANK('MH01'!A122),ISERROR('MH01'!A122)),"",'MH01'!A122)</f>
        <v/>
      </c>
      <c r="B97" s="1295" t="str">
        <f>IF(OR(ISBLANK('MH01'!B122),ISERROR('MH01'!B122)),"",'MH01'!B122)</f>
        <v/>
      </c>
      <c r="C97" s="25" t="str">
        <f>IF(OR(ISBLANK('MH01'!C122),ISERROR('MH01'!C122)),"",'MH01'!C122)</f>
        <v>Riesgo relativo</v>
      </c>
      <c r="D97" s="25" t="str">
        <f>IF(OR(ISBLANK('MH01'!D122),ISERROR('MH01'!D122)),"",'MH01'!D122)</f>
        <v>Clásico</v>
      </c>
      <c r="E97" s="132">
        <f>IF(OR(ISBLANK('MH01'!E122),ISERROR('MH01'!E122)),"",'MH01'!E122)</f>
        <v>3.285714285714286</v>
      </c>
      <c r="F97" s="1300" t="str">
        <f>IF(OR(ISBLANK('MH01'!F122),ISERROR('MH01'!F122)),"",'MH01'!F122)</f>
        <v>(2,284; 4,726)</v>
      </c>
      <c r="G97" s="1300" t="str">
        <f>IF(OR(ISBLANK('MH01'!G122),ISERROR('MH01'!G122)),"",'MH01'!G122)</f>
        <v/>
      </c>
      <c r="H97" s="25" t="str">
        <f>IF(OR(ISBLANK('MH01'!H122),ISERROR('MH01'!H122)),"",'MH01'!H122)</f>
        <v/>
      </c>
      <c r="I97" s="787"/>
      <c r="N97" s="169"/>
      <c r="AM97" s="127"/>
      <c r="AN97" s="127"/>
      <c r="AO97" s="127"/>
      <c r="AP97" s="127"/>
      <c r="AQ97" s="127"/>
    </row>
    <row r="98" spans="1:43" x14ac:dyDescent="0.2">
      <c r="B98" s="1295"/>
      <c r="D98" s="25" t="str">
        <f>IF(OR(ISBLANK('MH01'!D123),ISERROR('MH01'!D123)),"",'MH01'!D123)</f>
        <v>Fieller</v>
      </c>
      <c r="E98" s="132">
        <f>IF(OR(ISBLANK('MH01'!E123),ISERROR('MH01'!E123)),"",'MH01'!E123)</f>
        <v>3.1996749042971988</v>
      </c>
      <c r="F98" s="1300" t="str">
        <f>IF(OR(ISBLANK('MH01'!F123),ISERROR('MH01'!F123)),"",'MH01'!F123)</f>
        <v>(2,322; 4,91)</v>
      </c>
      <c r="G98" s="1300" t="str">
        <f>IF(OR(ISBLANK('MH01'!G123),ISERROR('MH01'!G123)),"",'MH01'!G123)</f>
        <v/>
      </c>
      <c r="I98" s="787"/>
      <c r="N98" s="169"/>
      <c r="AM98" s="127"/>
      <c r="AN98" s="127"/>
      <c r="AO98" s="127"/>
      <c r="AP98" s="127"/>
      <c r="AQ98" s="127"/>
    </row>
    <row r="99" spans="1:43" x14ac:dyDescent="0.2">
      <c r="A99" s="25" t="str">
        <f>IF(OR(ISBLANK('MH01'!A124),ISERROR('MH01'!A124)),"",'MH01'!A124)</f>
        <v/>
      </c>
      <c r="B99" s="1295" t="str">
        <f>IF(OR(ISBLANK('MH01'!B124),ISERROR('MH01'!B124)),"",'MH01'!B124)</f>
        <v/>
      </c>
      <c r="C99" s="25" t="str">
        <f>IF(OR(ISBLANK('MH01'!C124),ISERROR('MH01'!C124)),"",'MH01'!C124)</f>
        <v>OR</v>
      </c>
      <c r="E99" s="132">
        <f>IF(OR(ISBLANK('MH01'!E124),ISERROR('MH01'!E124)),"",'MH01'!E124)</f>
        <v>9</v>
      </c>
      <c r="F99" s="1300" t="str">
        <f>IF(OR(ISBLANK('MH01'!F124),ISERROR('MH01'!F124)),"",'MH01'!F124)</f>
        <v>(4,782; 16,14)</v>
      </c>
      <c r="G99" s="1300" t="str">
        <f>IF(OR(ISBLANK('MH01'!G124),ISERROR('MH01'!G124)),"",'MH01'!G124)</f>
        <v/>
      </c>
      <c r="H99" s="25" t="str">
        <f>IF(OR(ISBLANK('MH01'!H124),ISERROR('MH01'!H124)),"",'MH01'!H124)</f>
        <v/>
      </c>
      <c r="I99" s="787"/>
      <c r="N99" s="169"/>
      <c r="AM99" s="127"/>
      <c r="AN99" s="127"/>
      <c r="AO99" s="127"/>
      <c r="AP99" s="127"/>
      <c r="AQ99" s="127"/>
    </row>
    <row r="100" spans="1:43" x14ac:dyDescent="0.2">
      <c r="A100" s="25" t="str">
        <f>IF(OR(ISBLANK('MH01'!A125),ISERROR('MH01'!A125)),"",'MH01'!A125)</f>
        <v/>
      </c>
      <c r="B100" s="1295" t="str">
        <f>IF(OR(ISBLANK('MH01'!B125),ISERROR('MH01'!B125)),"",'MH01'!B125)</f>
        <v/>
      </c>
      <c r="C100" s="99" t="str">
        <f>IF(OR(ISBLANK('MH01'!C125),ISERROR('MH01'!C125)),"",'MH01'!C125)</f>
        <v>R(atribuible)</v>
      </c>
      <c r="D100" s="135"/>
      <c r="E100" s="136">
        <f>IF(OR(ISBLANK('MH01'!E125),ISERROR('MH01'!E125)),"",'MH01'!E125)</f>
        <v>0.52173913043478259</v>
      </c>
      <c r="F100" s="1301" t="str">
        <f>IF(OR(ISBLANK('MH01'!F125),ISERROR('MH01'!F125)),"",'MH01'!F125)</f>
        <v>(0,364; 0,64)</v>
      </c>
      <c r="G100" s="1301" t="str">
        <f>IF(OR(ISBLANK('MH01'!G125),ISERROR('MH01'!G125)),"",'MH01'!G125)</f>
        <v/>
      </c>
      <c r="H100" s="25" t="str">
        <f>IF(OR(ISBLANK('MH01'!H125),ISERROR('MH01'!H125)),"",'MH01'!H125)</f>
        <v/>
      </c>
      <c r="I100" s="789"/>
      <c r="N100" s="169"/>
      <c r="AM100" s="127"/>
      <c r="AN100" s="127"/>
      <c r="AO100" s="128"/>
      <c r="AP100" s="128"/>
      <c r="AQ100" s="127"/>
    </row>
    <row r="101" spans="1:43" x14ac:dyDescent="0.2">
      <c r="A101" s="25" t="str">
        <f>IF(OR(ISBLANK('MH01'!A126),ISERROR('MH01'!A126)),"",'MH01'!A126)</f>
        <v/>
      </c>
      <c r="B101" s="1295" t="str">
        <f>IF(OR(ISBLANK('MH01'!B126),ISERROR('MH01'!B126)),"",'MH01'!B126)</f>
        <v/>
      </c>
      <c r="C101" s="137" t="str">
        <f>IF(OR(ISBLANK('MH01'!C126),ISERROR('MH01'!C126)),"",'MH01'!C126)</f>
        <v/>
      </c>
      <c r="D101" s="27"/>
      <c r="E101" s="27" t="str">
        <f>IF(OR(ISBLANK('MH01'!E126),ISERROR('MH01'!E126)),"",'MH01'!E126)</f>
        <v/>
      </c>
      <c r="F101" s="27" t="str">
        <f>IF(OR(ISBLANK('MH01'!F126),ISERROR('MH01'!F126)),"",'MH01'!F126)</f>
        <v/>
      </c>
      <c r="G101" s="97" t="str">
        <f>IF(OR(ISBLANK('MH01'!G126),ISERROR('MH01'!G126)),"",'MH01'!G126)</f>
        <v/>
      </c>
      <c r="H101" s="27" t="str">
        <f>IF(OR(ISBLANK('MH01'!H126),ISERROR('MH01'!H126)),"",'MH01'!H126)</f>
        <v/>
      </c>
      <c r="I101" s="27" t="str">
        <f>IF(OR(ISBLANK('MH01'!I126),ISERROR('MH01'!I126)),"",'MH01'!I126)</f>
        <v/>
      </c>
      <c r="J101" s="27"/>
      <c r="K101" s="138"/>
      <c r="L101" s="27"/>
      <c r="M101" s="27"/>
      <c r="N101" s="27"/>
      <c r="O101" s="27"/>
      <c r="P101" s="27"/>
    </row>
    <row r="102" spans="1:43" x14ac:dyDescent="0.2">
      <c r="A102" s="25" t="str">
        <f>IF(OR(ISBLANK('MH01'!A127),ISERROR('MH01'!A127)),"",'MH01'!A127)</f>
        <v/>
      </c>
      <c r="B102" s="139" t="str">
        <f>IF(OR(ISBLANK('MH01'!B127),ISERROR('MH01'!B127)),"",'MH01'!B127)</f>
        <v/>
      </c>
      <c r="C102" s="1303" t="str">
        <f>IF(OR(ISBLANK('MH01'!C127),ISERROR('MH01'!C127)),"",'MH01'!C127)</f>
        <v>** En SPSS: OR (IC 95%) =9 (4,876; 16,611)</v>
      </c>
      <c r="D102" s="1303" t="str">
        <f>IF(OR(ISBLANK('MH01'!D127),ISERROR('MH01'!D127)),"",'MH01'!D127)</f>
        <v/>
      </c>
      <c r="E102" s="1303" t="str">
        <f>IF(OR(ISBLANK('MH01'!E127),ISERROR('MH01'!E127)),"",'MH01'!E127)</f>
        <v/>
      </c>
      <c r="F102" s="1303" t="str">
        <f>IF(OR(ISBLANK('MH01'!F127),ISERROR('MH01'!F127)),"",'MH01'!F127)</f>
        <v/>
      </c>
      <c r="G102" s="1303" t="str">
        <f>IF(OR(ISBLANK('MH01'!G127),ISERROR('MH01'!G127)),"",'MH01'!G127)</f>
        <v/>
      </c>
      <c r="H102" s="27" t="str">
        <f>IF(OR(ISBLANK('MH01'!H127),ISERROR('MH01'!H127)),"",'MH01'!H127)</f>
        <v/>
      </c>
      <c r="I102" s="27" t="str">
        <f>IF(OR(ISBLANK('MH01'!I127),ISERROR('MH01'!I127)),"",'MH01'!I127)</f>
        <v/>
      </c>
      <c r="J102" s="27"/>
      <c r="K102" s="27"/>
      <c r="L102" s="27"/>
      <c r="M102" s="27"/>
      <c r="N102" s="27"/>
      <c r="O102" s="27"/>
      <c r="P102" s="27"/>
    </row>
    <row r="103" spans="1:43" ht="13.5" thickBot="1" x14ac:dyDescent="0.25">
      <c r="A103" s="25" t="str">
        <f>IF(OR(ISBLANK('MH01'!A128),ISERROR('MH01'!A128)),"",'MH01'!A128)</f>
        <v/>
      </c>
      <c r="B103" s="139" t="str">
        <f>IF(OR(ISBLANK('MH01'!B128),ISERROR('MH01'!B128)),"",'MH01'!B128)</f>
        <v/>
      </c>
      <c r="C103" s="66" t="str">
        <f>IF(OR(ISBLANK('MH01'!C128),ISERROR('MH01'!C128)),"",'MH01'!C128)</f>
        <v/>
      </c>
      <c r="D103" s="66" t="str">
        <f>IF(OR(ISBLANK('MH01'!D128),ISERROR('MH01'!D128)),"",'MH01'!D128)</f>
        <v/>
      </c>
      <c r="E103" s="66" t="str">
        <f>IF(OR(ISBLANK('MH01'!E128),ISERROR('MH01'!E128)),"",'MH01'!E128)</f>
        <v/>
      </c>
      <c r="F103" s="66" t="str">
        <f>IF(OR(ISBLANK('MH01'!F128),ISERROR('MH01'!F128)),"",'MH01'!F128)</f>
        <v/>
      </c>
      <c r="G103" s="66" t="str">
        <f>IF(OR(ISBLANK('MH01'!G128),ISERROR('MH01'!G128)),"",'MH01'!G128)</f>
        <v/>
      </c>
      <c r="H103" s="66" t="str">
        <f>IF(OR(ISBLANK('MH01'!H128),ISERROR('MH01'!H128)),"",'MH01'!H128)</f>
        <v/>
      </c>
      <c r="I103" s="66" t="str">
        <f>IF(OR(ISBLANK('MH01'!I128),ISERROR('MH01'!I128)),"",'MH01'!I128)</f>
        <v/>
      </c>
      <c r="J103" s="66" t="str">
        <f>IF(OR(ISBLANK('MH01'!L128),ISERROR('MH01'!L128)),"",'MH01'!L128)</f>
        <v/>
      </c>
      <c r="K103" s="66" t="str">
        <f>IF(OR(ISBLANK('MH01'!M128),ISERROR('MH01'!M128)),"",'MH01'!M128)</f>
        <v/>
      </c>
      <c r="L103" s="66" t="str">
        <f>IF(OR(ISBLANK('MH01'!N128),ISERROR('MH01'!N128)),"",'MH01'!N128)</f>
        <v/>
      </c>
      <c r="M103" s="66" t="str">
        <f>IF(OR(ISBLANK('MH01'!O128),ISERROR('MH01'!O128)),"",'MH01'!O128)</f>
        <v/>
      </c>
      <c r="N103" s="66" t="str">
        <f>IF(OR(ISBLANK('MH01'!P128),ISERROR('MH01'!P128)),"",'MH01'!P128)</f>
        <v/>
      </c>
      <c r="O103" s="66" t="str">
        <f>IF(OR(ISBLANK('MH01'!Q128),ISERROR('MH01'!Q128)),"",'MH01'!Q128)</f>
        <v/>
      </c>
      <c r="P103" s="66"/>
    </row>
    <row r="104" spans="1:43" x14ac:dyDescent="0.2">
      <c r="A104" s="25" t="str">
        <f>IF(OR(ISBLANK('MH01'!A129),ISERROR('MH01'!A129)),"",'MH01'!A129)</f>
        <v/>
      </c>
      <c r="B104" s="139" t="str">
        <f>IF(OR(ISBLANK('MH01'!B129),ISERROR('MH01'!B129)),"",'MH01'!B129)</f>
        <v/>
      </c>
      <c r="C104" s="25" t="str">
        <f>IF(OR(ISBLANK('MH01'!C129),ISERROR('MH01'!C129)),"",'MH01'!C129)</f>
        <v/>
      </c>
      <c r="D104" s="25" t="str">
        <f>IF(OR(ISBLANK('MH01'!D129),ISERROR('MH01'!D129)),"",'MH01'!D129)</f>
        <v/>
      </c>
      <c r="E104" s="25" t="str">
        <f>IF(OR(ISBLANK('MH01'!E129),ISERROR('MH01'!E129)),"",'MH01'!E129)</f>
        <v/>
      </c>
      <c r="F104" s="25" t="str">
        <f>IF(OR(ISBLANK('MH01'!F129),ISERROR('MH01'!F129)),"",'MH01'!F129)</f>
        <v/>
      </c>
      <c r="G104" s="25" t="str">
        <f>IF(OR(ISBLANK('MH01'!G129),ISERROR('MH01'!G129)),"",'MH01'!G129)</f>
        <v/>
      </c>
      <c r="H104" s="25" t="str">
        <f>IF(OR(ISBLANK('MH01'!H129),ISERROR('MH01'!H129)),"",'MH01'!H129)</f>
        <v/>
      </c>
      <c r="I104" s="25" t="str">
        <f>IF(OR(ISBLANK('MH01'!I129),ISERROR('MH01'!I129)),"",'MH01'!I129)</f>
        <v/>
      </c>
      <c r="J104" s="25" t="str">
        <f>IF(OR(ISBLANK('MH01'!L129),ISERROR('MH01'!L129)),"",'MH01'!L129)</f>
        <v/>
      </c>
      <c r="K104" s="25" t="str">
        <f>IF(OR(ISBLANK('MH01'!M129),ISERROR('MH01'!M129)),"",'MH01'!M129)</f>
        <v/>
      </c>
      <c r="L104" s="25" t="str">
        <f>IF(OR(ISBLANK('MH01'!N129),ISERROR('MH01'!N129)),"",'MH01'!N129)</f>
        <v/>
      </c>
      <c r="M104" s="25" t="str">
        <f>IF(OR(ISBLANK('MH01'!O129),ISERROR('MH01'!O129)),"",'MH01'!O129)</f>
        <v/>
      </c>
      <c r="N104" s="25" t="str">
        <f>IF(OR(ISBLANK('MH01'!P129),ISERROR('MH01'!P129)),"",'MH01'!P129)</f>
        <v/>
      </c>
      <c r="O104" s="25" t="str">
        <f>IF(OR(ISBLANK('MH01'!Q129),ISERROR('MH01'!Q129)),"",'MH01'!Q129)</f>
        <v/>
      </c>
    </row>
    <row r="105" spans="1:43" x14ac:dyDescent="0.2">
      <c r="A105" s="25" t="str">
        <f>IF(OR(ISBLANK('MH01'!A130),ISERROR('MH01'!A130)),"",'MH01'!A130)</f>
        <v/>
      </c>
      <c r="B105" s="139" t="str">
        <f>IF(OR(ISBLANK('MH01'!B130),ISERROR('MH01'!B130)),"",'MH01'!B130)</f>
        <v/>
      </c>
      <c r="C105" s="25" t="str">
        <f>IF(OR(ISBLANK('MH01'!C130),ISERROR('MH01'!C130)),"",'MH01'!C130)</f>
        <v/>
      </c>
      <c r="D105" s="25" t="str">
        <f>IF(OR(ISBLANK('MH01'!D130),ISERROR('MH01'!D130)),"",'MH01'!D130)</f>
        <v/>
      </c>
      <c r="E105" s="25" t="str">
        <f>IF(OR(ISBLANK('MH01'!E130),ISERROR('MH01'!E130)),"",'MH01'!E130)</f>
        <v/>
      </c>
      <c r="F105" s="25" t="str">
        <f>IF(OR(ISBLANK('MH01'!F130),ISERROR('MH01'!F130)),"",'MH01'!F130)</f>
        <v/>
      </c>
      <c r="G105" s="25" t="str">
        <f>IF(OR(ISBLANK('MH01'!G130),ISERROR('MH01'!G130)),"",'MH01'!G130)</f>
        <v/>
      </c>
      <c r="H105" s="25" t="str">
        <f>IF(OR(ISBLANK('MH01'!H130),ISERROR('MH01'!H130)),"",'MH01'!H130)</f>
        <v/>
      </c>
      <c r="I105" s="25" t="str">
        <f>IF(OR(ISBLANK('MH01'!I130),ISERROR('MH01'!I130)),"",'MH01'!I130)</f>
        <v/>
      </c>
      <c r="J105" s="25" t="str">
        <f>IF(OR(ISBLANK('MH01'!L130),ISERROR('MH01'!L130)),"",'MH01'!L130)</f>
        <v/>
      </c>
      <c r="K105" s="25" t="str">
        <f>IF(OR(ISBLANK('MH01'!M130),ISERROR('MH01'!M130)),"",'MH01'!M130)</f>
        <v/>
      </c>
      <c r="L105" s="25" t="str">
        <f>IF(OR(ISBLANK('MH01'!N130),ISERROR('MH01'!N130)),"",'MH01'!N130)</f>
        <v/>
      </c>
      <c r="M105" s="25" t="str">
        <f>IF(OR(ISBLANK('MH01'!O130),ISERROR('MH01'!O130)),"",'MH01'!O130)</f>
        <v/>
      </c>
      <c r="N105" s="25" t="str">
        <f>IF(OR(ISBLANK('MH01'!P130),ISERROR('MH01'!P130)),"",'MH01'!P130)</f>
        <v/>
      </c>
      <c r="O105" s="25" t="str">
        <f>IF(OR(ISBLANK('MH01'!Q130),ISERROR('MH01'!Q130)),"",'MH01'!Q130)</f>
        <v/>
      </c>
    </row>
    <row r="106" spans="1:43" x14ac:dyDescent="0.2">
      <c r="A106" s="25" t="str">
        <f>IF(OR(ISBLANK('MH01'!A131),ISERROR('MH01'!A131)),"",'MH01'!A131)</f>
        <v/>
      </c>
      <c r="B106" s="139" t="str">
        <f>IF(OR(ISBLANK('MH01'!B131),ISERROR('MH01'!B131)),"",'MH01'!B131)</f>
        <v/>
      </c>
      <c r="C106" s="25" t="str">
        <f>IF(OR(ISBLANK('MH01'!C131),ISERROR('MH01'!C131)),"",'MH01'!C131)</f>
        <v/>
      </c>
      <c r="D106" s="25" t="str">
        <f>IF(OR(ISBLANK('MH01'!D131),ISERROR('MH01'!D131)),"",'MH01'!D131)</f>
        <v/>
      </c>
      <c r="E106" s="25" t="str">
        <f>IF(OR(ISBLANK('MH01'!E131),ISERROR('MH01'!E131)),"",'MH01'!E131)</f>
        <v/>
      </c>
      <c r="F106" s="25" t="str">
        <f>IF(OR(ISBLANK('MH01'!F131),ISERROR('MH01'!F131)),"",'MH01'!F131)</f>
        <v/>
      </c>
      <c r="G106" s="25" t="str">
        <f>IF(OR(ISBLANK('MH01'!G131),ISERROR('MH01'!G131)),"",'MH01'!G131)</f>
        <v/>
      </c>
      <c r="H106" s="25" t="str">
        <f>IF(OR(ISBLANK('MH01'!H131),ISERROR('MH01'!H131)),"",'MH01'!H131)</f>
        <v/>
      </c>
      <c r="I106" s="25" t="str">
        <f>IF(OR(ISBLANK('MH01'!I131),ISERROR('MH01'!I131)),"",'MH01'!I131)</f>
        <v/>
      </c>
      <c r="J106" s="25" t="str">
        <f>IF(OR(ISBLANK('MH01'!L131),ISERROR('MH01'!L131)),"",'MH01'!L131)</f>
        <v/>
      </c>
      <c r="K106" s="25" t="str">
        <f>IF(OR(ISBLANK('MH01'!M131),ISERROR('MH01'!M131)),"",'MH01'!M131)</f>
        <v/>
      </c>
      <c r="L106" s="25" t="str">
        <f>IF(OR(ISBLANK('MH01'!N131),ISERROR('MH01'!N131)),"",'MH01'!N131)</f>
        <v/>
      </c>
      <c r="M106" s="25" t="str">
        <f>IF(OR(ISBLANK('MH01'!O131),ISERROR('MH01'!O131)),"",'MH01'!O131)</f>
        <v/>
      </c>
      <c r="N106" s="25" t="str">
        <f>IF(OR(ISBLANK('MH01'!P131),ISERROR('MH01'!P131)),"",'MH01'!P131)</f>
        <v/>
      </c>
      <c r="O106" s="25" t="str">
        <f>IF(OR(ISBLANK('MH01'!Q131),ISERROR('MH01'!Q131)),"",'MH01'!Q131)</f>
        <v/>
      </c>
    </row>
    <row r="107" spans="1:43" x14ac:dyDescent="0.2">
      <c r="A107" s="25" t="str">
        <f>IF(OR(ISBLANK('MH01'!A132),ISERROR('MH01'!A132)),"",'MH01'!A132)</f>
        <v/>
      </c>
      <c r="B107" s="139" t="str">
        <f>IF(OR(ISBLANK('MH01'!B132),ISERROR('MH01'!B132)),"",'MH01'!B132)</f>
        <v/>
      </c>
      <c r="C107" s="25" t="str">
        <f>IF(OR(ISBLANK('MH01'!C132),ISERROR('MH01'!C132)),"",'MH01'!C132)</f>
        <v/>
      </c>
      <c r="D107" s="25" t="str">
        <f>IF(OR(ISBLANK('MH01'!D132),ISERROR('MH01'!D132)),"",'MH01'!D132)</f>
        <v/>
      </c>
      <c r="E107" s="25" t="str">
        <f>IF(OR(ISBLANK('MH01'!E132),ISERROR('MH01'!E132)),"",'MH01'!E132)</f>
        <v/>
      </c>
      <c r="F107" s="25" t="str">
        <f>IF(OR(ISBLANK('MH01'!F132),ISERROR('MH01'!F132)),"",'MH01'!F132)</f>
        <v/>
      </c>
      <c r="G107" s="25" t="str">
        <f>IF(OR(ISBLANK('MH01'!G132),ISERROR('MH01'!G132)),"",'MH01'!G132)</f>
        <v/>
      </c>
      <c r="H107" s="25" t="str">
        <f>IF(OR(ISBLANK('MH01'!H132),ISERROR('MH01'!H132)),"",'MH01'!H132)</f>
        <v/>
      </c>
      <c r="I107" s="25" t="str">
        <f>IF(OR(ISBLANK('MH01'!I132),ISERROR('MH01'!I132)),"",'MH01'!I132)</f>
        <v/>
      </c>
      <c r="J107" s="25" t="str">
        <f>IF(OR(ISBLANK('MH01'!L132),ISERROR('MH01'!L132)),"",'MH01'!L132)</f>
        <v/>
      </c>
      <c r="K107" s="25" t="str">
        <f>IF(OR(ISBLANK('MH01'!M132),ISERROR('MH01'!M132)),"",'MH01'!M132)</f>
        <v/>
      </c>
      <c r="L107" s="25" t="str">
        <f>IF(OR(ISBLANK('MH01'!N132),ISERROR('MH01'!N132)),"",'MH01'!N132)</f>
        <v/>
      </c>
      <c r="M107" s="25" t="str">
        <f>IF(OR(ISBLANK('MH01'!O132),ISERROR('MH01'!O132)),"",'MH01'!O132)</f>
        <v/>
      </c>
      <c r="N107" s="25" t="str">
        <f>IF(OR(ISBLANK('MH01'!P132),ISERROR('MH01'!P132)),"",'MH01'!P132)</f>
        <v/>
      </c>
      <c r="O107" s="25" t="str">
        <f>IF(OR(ISBLANK('MH01'!Q132),ISERROR('MH01'!Q132)),"",'MH01'!Q132)</f>
        <v/>
      </c>
    </row>
    <row r="108" spans="1:43" x14ac:dyDescent="0.2">
      <c r="A108" s="25" t="str">
        <f>IF(OR(ISBLANK('MH01'!A133),ISERROR('MH01'!A133)),"",'MH01'!A133)</f>
        <v/>
      </c>
      <c r="B108" s="139" t="str">
        <f>IF(OR(ISBLANK('MH01'!B133),ISERROR('MH01'!B133)),"",'MH01'!B133)</f>
        <v/>
      </c>
      <c r="C108" s="25" t="str">
        <f>IF(OR(ISBLANK('MH01'!C133),ISERROR('MH01'!C133)),"",'MH01'!C133)</f>
        <v/>
      </c>
      <c r="D108" s="25" t="str">
        <f>IF(OR(ISBLANK('MH01'!D133),ISERROR('MH01'!D133)),"",'MH01'!D133)</f>
        <v/>
      </c>
      <c r="E108" s="25" t="str">
        <f>IF(OR(ISBLANK('MH01'!E133),ISERROR('MH01'!E133)),"",'MH01'!E133)</f>
        <v/>
      </c>
      <c r="F108" s="25" t="str">
        <f>IF(OR(ISBLANK('MH01'!F133),ISERROR('MH01'!F133)),"",'MH01'!F133)</f>
        <v/>
      </c>
      <c r="G108" s="25" t="str">
        <f>IF(OR(ISBLANK('MH01'!G133),ISERROR('MH01'!G133)),"",'MH01'!G133)</f>
        <v/>
      </c>
      <c r="H108" s="25" t="str">
        <f>IF(OR(ISBLANK('MH01'!H133),ISERROR('MH01'!H133)),"",'MH01'!H133)</f>
        <v/>
      </c>
      <c r="I108" s="25" t="str">
        <f>IF(OR(ISBLANK('MH01'!I133),ISERROR('MH01'!I133)),"",'MH01'!I133)</f>
        <v/>
      </c>
      <c r="J108" s="25" t="str">
        <f>IF(OR(ISBLANK('MH01'!L133),ISERROR('MH01'!L133)),"",'MH01'!L133)</f>
        <v/>
      </c>
      <c r="K108" s="25" t="str">
        <f>IF(OR(ISBLANK('MH01'!M133),ISERROR('MH01'!M133)),"",'MH01'!M133)</f>
        <v/>
      </c>
      <c r="L108" s="25" t="str">
        <f>IF(OR(ISBLANK('MH01'!N133),ISERROR('MH01'!N133)),"",'MH01'!N133)</f>
        <v/>
      </c>
      <c r="M108" s="25" t="str">
        <f>IF(OR(ISBLANK('MH01'!O133),ISERROR('MH01'!O133)),"",'MH01'!O133)</f>
        <v/>
      </c>
      <c r="N108" s="25" t="str">
        <f>IF(OR(ISBLANK('MH01'!P133),ISERROR('MH01'!P133)),"",'MH01'!P133)</f>
        <v/>
      </c>
      <c r="O108" s="25" t="str">
        <f>IF(OR(ISBLANK('MH01'!Q133),ISERROR('MH01'!Q133)),"",'MH01'!Q133)</f>
        <v/>
      </c>
    </row>
    <row r="109" spans="1:43" x14ac:dyDescent="0.2">
      <c r="A109" s="25" t="str">
        <f>IF(OR(ISBLANK('MH01'!A134),ISERROR('MH01'!A134)),"",'MH01'!A134)</f>
        <v/>
      </c>
      <c r="B109" s="139" t="str">
        <f>IF(OR(ISBLANK('MH01'!B134),ISERROR('MH01'!B134)),"",'MH01'!B134)</f>
        <v/>
      </c>
      <c r="C109" s="25" t="str">
        <f>IF(OR(ISBLANK('MH01'!C134),ISERROR('MH01'!C134)),"",'MH01'!C134)</f>
        <v/>
      </c>
      <c r="D109" s="25" t="str">
        <f>IF(OR(ISBLANK('MH01'!D134),ISERROR('MH01'!D134)),"",'MH01'!D134)</f>
        <v/>
      </c>
      <c r="E109" s="25" t="str">
        <f>IF(OR(ISBLANK('MH01'!E134),ISERROR('MH01'!E134)),"",'MH01'!E134)</f>
        <v/>
      </c>
      <c r="F109" s="25" t="str">
        <f>IF(OR(ISBLANK('MH01'!F134),ISERROR('MH01'!F134)),"",'MH01'!F134)</f>
        <v/>
      </c>
      <c r="G109" s="25" t="str">
        <f>IF(OR(ISBLANK('MH01'!G134),ISERROR('MH01'!G134)),"",'MH01'!G134)</f>
        <v/>
      </c>
      <c r="H109" s="25" t="str">
        <f>IF(OR(ISBLANK('MH01'!H134),ISERROR('MH01'!H134)),"",'MH01'!H134)</f>
        <v/>
      </c>
      <c r="I109" s="25" t="str">
        <f>IF(OR(ISBLANK('MH01'!I134),ISERROR('MH01'!I134)),"",'MH01'!I134)</f>
        <v/>
      </c>
      <c r="J109" s="25" t="str">
        <f>IF(OR(ISBLANK('MH01'!L134),ISERROR('MH01'!L134)),"",'MH01'!L134)</f>
        <v/>
      </c>
      <c r="K109" s="25" t="str">
        <f>IF(OR(ISBLANK('MH01'!M134),ISERROR('MH01'!M134)),"",'MH01'!M134)</f>
        <v/>
      </c>
      <c r="L109" s="25" t="str">
        <f>IF(OR(ISBLANK('MH01'!N134),ISERROR('MH01'!N134)),"",'MH01'!N134)</f>
        <v/>
      </c>
      <c r="M109" s="25" t="str">
        <f>IF(OR(ISBLANK('MH01'!O134),ISERROR('MH01'!O134)),"",'MH01'!O134)</f>
        <v/>
      </c>
      <c r="N109" s="25" t="str">
        <f>IF(OR(ISBLANK('MH01'!P134),ISERROR('MH01'!P134)),"",'MH01'!P134)</f>
        <v/>
      </c>
      <c r="O109" s="25" t="str">
        <f>IF(OR(ISBLANK('MH01'!Q134),ISERROR('MH01'!Q134)),"",'MH01'!Q134)</f>
        <v/>
      </c>
    </row>
    <row r="110" spans="1:43" x14ac:dyDescent="0.2">
      <c r="A110" s="25" t="str">
        <f>IF(OR(ISBLANK('MH01'!A135),ISERROR('MH01'!A135)),"",'MH01'!A135)</f>
        <v/>
      </c>
      <c r="B110" s="139" t="str">
        <f>IF(OR(ISBLANK('MH01'!B135),ISERROR('MH01'!B135)),"",'MH01'!B135)</f>
        <v/>
      </c>
      <c r="C110" s="25" t="str">
        <f>IF(OR(ISBLANK('MH01'!C135),ISERROR('MH01'!C135)),"",'MH01'!C135)</f>
        <v/>
      </c>
      <c r="D110" s="25" t="str">
        <f>IF(OR(ISBLANK('MH01'!D135),ISERROR('MH01'!D135)),"",'MH01'!D135)</f>
        <v/>
      </c>
      <c r="E110" s="25" t="str">
        <f>IF(OR(ISBLANK('MH01'!E135),ISERROR('MH01'!E135)),"",'MH01'!E135)</f>
        <v/>
      </c>
      <c r="F110" s="25" t="str">
        <f>IF(OR(ISBLANK('MH01'!F135),ISERROR('MH01'!F135)),"",'MH01'!F135)</f>
        <v/>
      </c>
      <c r="G110" s="25" t="str">
        <f>IF(OR(ISBLANK('MH01'!G135),ISERROR('MH01'!G135)),"",'MH01'!G135)</f>
        <v/>
      </c>
      <c r="H110" s="25" t="str">
        <f>IF(OR(ISBLANK('MH01'!H135),ISERROR('MH01'!H135)),"",'MH01'!H135)</f>
        <v/>
      </c>
      <c r="I110" s="25" t="str">
        <f>IF(OR(ISBLANK('MH01'!I135),ISERROR('MH01'!I135)),"",'MH01'!I135)</f>
        <v/>
      </c>
      <c r="J110" s="25" t="str">
        <f>IF(OR(ISBLANK('MH01'!L135),ISERROR('MH01'!L135)),"",'MH01'!L135)</f>
        <v/>
      </c>
      <c r="K110" s="25" t="str">
        <f>IF(OR(ISBLANK('MH01'!M135),ISERROR('MH01'!M135)),"",'MH01'!M135)</f>
        <v/>
      </c>
      <c r="L110" s="25" t="str">
        <f>IF(OR(ISBLANK('MH01'!N135),ISERROR('MH01'!N135)),"",'MH01'!N135)</f>
        <v/>
      </c>
      <c r="M110" s="25" t="str">
        <f>IF(OR(ISBLANK('MH01'!O135),ISERROR('MH01'!O135)),"",'MH01'!O135)</f>
        <v/>
      </c>
      <c r="N110" s="25" t="str">
        <f>IF(OR(ISBLANK('MH01'!P135),ISERROR('MH01'!P135)),"",'MH01'!P135)</f>
        <v/>
      </c>
      <c r="O110" s="25" t="str">
        <f>IF(OR(ISBLANK('MH01'!Q135),ISERROR('MH01'!Q135)),"",'MH01'!Q135)</f>
        <v/>
      </c>
    </row>
    <row r="111" spans="1:43" x14ac:dyDescent="0.2">
      <c r="A111" s="25" t="str">
        <f>IF(OR(ISBLANK('MH01'!A136),ISERROR('MH01'!A136)),"",'MH01'!A136)</f>
        <v/>
      </c>
      <c r="B111" s="139" t="str">
        <f>IF(OR(ISBLANK('MH01'!B136),ISERROR('MH01'!B136)),"",'MH01'!B136)</f>
        <v/>
      </c>
      <c r="C111" s="25" t="str">
        <f>IF(OR(ISBLANK('MH01'!C136),ISERROR('MH01'!C136)),"",'MH01'!C136)</f>
        <v/>
      </c>
      <c r="D111" s="25" t="str">
        <f>IF(OR(ISBLANK('MH01'!D136),ISERROR('MH01'!D136)),"",'MH01'!D136)</f>
        <v/>
      </c>
      <c r="E111" s="25" t="str">
        <f>IF(OR(ISBLANK('MH01'!E136),ISERROR('MH01'!E136)),"",'MH01'!E136)</f>
        <v/>
      </c>
      <c r="F111" s="25" t="str">
        <f>IF(OR(ISBLANK('MH01'!F136),ISERROR('MH01'!F136)),"",'MH01'!F136)</f>
        <v/>
      </c>
      <c r="G111" s="25" t="str">
        <f>IF(OR(ISBLANK('MH01'!G136),ISERROR('MH01'!G136)),"",'MH01'!G136)</f>
        <v/>
      </c>
      <c r="H111" s="25" t="str">
        <f>IF(OR(ISBLANK('MH01'!H136),ISERROR('MH01'!H136)),"",'MH01'!H136)</f>
        <v/>
      </c>
      <c r="I111" s="25" t="str">
        <f>IF(OR(ISBLANK('MH01'!I136),ISERROR('MH01'!I136)),"",'MH01'!I136)</f>
        <v/>
      </c>
      <c r="J111" s="25" t="str">
        <f>IF(OR(ISBLANK('MH01'!L136),ISERROR('MH01'!L136)),"",'MH01'!L136)</f>
        <v/>
      </c>
      <c r="K111" s="25" t="str">
        <f>IF(OR(ISBLANK('MH01'!M136),ISERROR('MH01'!M136)),"",'MH01'!M136)</f>
        <v/>
      </c>
      <c r="L111" s="25" t="str">
        <f>IF(OR(ISBLANK('MH01'!N136),ISERROR('MH01'!N136)),"",'MH01'!N136)</f>
        <v/>
      </c>
      <c r="M111" s="25" t="str">
        <f>IF(OR(ISBLANK('MH01'!O136),ISERROR('MH01'!O136)),"",'MH01'!O136)</f>
        <v/>
      </c>
      <c r="N111" s="25" t="str">
        <f>IF(OR(ISBLANK('MH01'!P136),ISERROR('MH01'!P136)),"",'MH01'!P136)</f>
        <v/>
      </c>
      <c r="O111" s="25" t="str">
        <f>IF(OR(ISBLANK('MH01'!Q136),ISERROR('MH01'!Q136)),"",'MH01'!Q136)</f>
        <v/>
      </c>
    </row>
    <row r="112" spans="1:43" x14ac:dyDescent="0.2">
      <c r="A112" s="25" t="str">
        <f>IF(OR(ISBLANK('MH01'!A137),ISERROR('MH01'!A137)),"",'MH01'!A137)</f>
        <v/>
      </c>
      <c r="B112" s="139" t="str">
        <f>IF(OR(ISBLANK('MH01'!B137),ISERROR('MH01'!B137)),"",'MH01'!B137)</f>
        <v/>
      </c>
      <c r="C112" s="25" t="str">
        <f>IF(OR(ISBLANK('MH01'!C137),ISERROR('MH01'!C137)),"",'MH01'!C137)</f>
        <v/>
      </c>
      <c r="D112" s="25" t="str">
        <f>IF(OR(ISBLANK('MH01'!D137),ISERROR('MH01'!D137)),"",'MH01'!D137)</f>
        <v/>
      </c>
      <c r="E112" s="25" t="str">
        <f>IF(OR(ISBLANK('MH01'!E137),ISERROR('MH01'!E137)),"",'MH01'!E137)</f>
        <v/>
      </c>
      <c r="F112" s="25" t="str">
        <f>IF(OR(ISBLANK('MH01'!F137),ISERROR('MH01'!F137)),"",'MH01'!F137)</f>
        <v/>
      </c>
      <c r="G112" s="25" t="str">
        <f>IF(OR(ISBLANK('MH01'!G137),ISERROR('MH01'!G137)),"",'MH01'!G137)</f>
        <v/>
      </c>
      <c r="H112" s="25" t="str">
        <f>IF(OR(ISBLANK('MH01'!H137),ISERROR('MH01'!H137)),"",'MH01'!H137)</f>
        <v/>
      </c>
      <c r="I112" s="25" t="str">
        <f>IF(OR(ISBLANK('MH01'!I137),ISERROR('MH01'!I137)),"",'MH01'!I137)</f>
        <v/>
      </c>
      <c r="J112" s="25" t="str">
        <f>IF(OR(ISBLANK('MH01'!L137),ISERROR('MH01'!L137)),"",'MH01'!L137)</f>
        <v/>
      </c>
      <c r="K112" s="25" t="str">
        <f>IF(OR(ISBLANK('MH01'!M137),ISERROR('MH01'!M137)),"",'MH01'!M137)</f>
        <v/>
      </c>
      <c r="L112" s="25" t="str">
        <f>IF(OR(ISBLANK('MH01'!N137),ISERROR('MH01'!N137)),"",'MH01'!N137)</f>
        <v/>
      </c>
      <c r="M112" s="25" t="str">
        <f>IF(OR(ISBLANK('MH01'!O137),ISERROR('MH01'!O137)),"",'MH01'!O137)</f>
        <v/>
      </c>
      <c r="N112" s="25" t="str">
        <f>IF(OR(ISBLANK('MH01'!P137),ISERROR('MH01'!P137)),"",'MH01'!P137)</f>
        <v/>
      </c>
      <c r="O112" s="25" t="str">
        <f>IF(OR(ISBLANK('MH01'!Q137),ISERROR('MH01'!Q137)),"",'MH01'!Q137)</f>
        <v/>
      </c>
    </row>
    <row r="113" spans="1:15" x14ac:dyDescent="0.2">
      <c r="A113" s="25" t="str">
        <f>IF(OR(ISBLANK('MH01'!A138),ISERROR('MH01'!A138)),"",'MH01'!A138)</f>
        <v/>
      </c>
      <c r="B113" s="139" t="str">
        <f>IF(OR(ISBLANK('MH01'!B138),ISERROR('MH01'!B138)),"",'MH01'!B138)</f>
        <v/>
      </c>
      <c r="C113" s="25" t="str">
        <f>IF(OR(ISBLANK('MH01'!C138),ISERROR('MH01'!C138)),"",'MH01'!C138)</f>
        <v/>
      </c>
      <c r="D113" s="25" t="str">
        <f>IF(OR(ISBLANK('MH01'!D138),ISERROR('MH01'!D138)),"",'MH01'!D138)</f>
        <v/>
      </c>
      <c r="E113" s="25" t="str">
        <f>IF(OR(ISBLANK('MH01'!E138),ISERROR('MH01'!E138)),"",'MH01'!E138)</f>
        <v/>
      </c>
      <c r="F113" s="25" t="str">
        <f>IF(OR(ISBLANK('MH01'!F138),ISERROR('MH01'!F138)),"",'MH01'!F138)</f>
        <v/>
      </c>
      <c r="G113" s="25" t="str">
        <f>IF(OR(ISBLANK('MH01'!G138),ISERROR('MH01'!G138)),"",'MH01'!G138)</f>
        <v/>
      </c>
      <c r="H113" s="25" t="str">
        <f>IF(OR(ISBLANK('MH01'!H138),ISERROR('MH01'!H138)),"",'MH01'!H138)</f>
        <v/>
      </c>
      <c r="I113" s="25" t="str">
        <f>IF(OR(ISBLANK('MH01'!I138),ISERROR('MH01'!I138)),"",'MH01'!I138)</f>
        <v/>
      </c>
      <c r="J113" s="25" t="str">
        <f>IF(OR(ISBLANK('MH01'!L138),ISERROR('MH01'!L138)),"",'MH01'!L138)</f>
        <v/>
      </c>
      <c r="K113" s="25" t="str">
        <f>IF(OR(ISBLANK('MH01'!M138),ISERROR('MH01'!M138)),"",'MH01'!M138)</f>
        <v/>
      </c>
      <c r="L113" s="25" t="str">
        <f>IF(OR(ISBLANK('MH01'!N138),ISERROR('MH01'!N138)),"",'MH01'!N138)</f>
        <v/>
      </c>
      <c r="M113" s="25" t="str">
        <f>IF(OR(ISBLANK('MH01'!O138),ISERROR('MH01'!O138)),"",'MH01'!O138)</f>
        <v/>
      </c>
      <c r="N113" s="25" t="str">
        <f>IF(OR(ISBLANK('MH01'!P138),ISERROR('MH01'!P138)),"",'MH01'!P138)</f>
        <v/>
      </c>
      <c r="O113" s="25" t="str">
        <f>IF(OR(ISBLANK('MH01'!Q138),ISERROR('MH01'!Q138)),"",'MH01'!Q138)</f>
        <v/>
      </c>
    </row>
    <row r="114" spans="1:15" x14ac:dyDescent="0.2">
      <c r="A114" s="25" t="str">
        <f>IF(OR(ISBLANK('MH01'!A139),ISERROR('MH01'!A139)),"",'MH01'!A139)</f>
        <v/>
      </c>
      <c r="B114" s="139" t="str">
        <f>IF(OR(ISBLANK('MH01'!B139),ISERROR('MH01'!B139)),"",'MH01'!B139)</f>
        <v/>
      </c>
      <c r="C114" s="25" t="str">
        <f>IF(OR(ISBLANK('MH01'!C139),ISERROR('MH01'!C139)),"",'MH01'!C139)</f>
        <v/>
      </c>
      <c r="D114" s="25" t="str">
        <f>IF(OR(ISBLANK('MH01'!D139),ISERROR('MH01'!D139)),"",'MH01'!D139)</f>
        <v/>
      </c>
      <c r="E114" s="25" t="str">
        <f>IF(OR(ISBLANK('MH01'!E139),ISERROR('MH01'!E139)),"",'MH01'!E139)</f>
        <v/>
      </c>
      <c r="F114" s="25" t="str">
        <f>IF(OR(ISBLANK('MH01'!F139),ISERROR('MH01'!F139)),"",'MH01'!F139)</f>
        <v/>
      </c>
      <c r="G114" s="25" t="str">
        <f>IF(OR(ISBLANK('MH01'!G139),ISERROR('MH01'!G139)),"",'MH01'!G139)</f>
        <v/>
      </c>
      <c r="H114" s="25" t="str">
        <f>IF(OR(ISBLANK('MH01'!H139),ISERROR('MH01'!H139)),"",'MH01'!H139)</f>
        <v/>
      </c>
      <c r="I114" s="25" t="str">
        <f>IF(OR(ISBLANK('MH01'!I139),ISERROR('MH01'!I139)),"",'MH01'!I139)</f>
        <v/>
      </c>
      <c r="J114" s="25" t="str">
        <f>IF(OR(ISBLANK('MH01'!L139),ISERROR('MH01'!L139)),"",'MH01'!L139)</f>
        <v/>
      </c>
      <c r="K114" s="25" t="str">
        <f>IF(OR(ISBLANK('MH01'!M139),ISERROR('MH01'!M139)),"",'MH01'!M139)</f>
        <v/>
      </c>
      <c r="L114" s="25" t="str">
        <f>IF(OR(ISBLANK('MH01'!N139),ISERROR('MH01'!N139)),"",'MH01'!N139)</f>
        <v/>
      </c>
      <c r="M114" s="25" t="str">
        <f>IF(OR(ISBLANK('MH01'!O139),ISERROR('MH01'!O139)),"",'MH01'!O139)</f>
        <v/>
      </c>
      <c r="N114" s="25" t="str">
        <f>IF(OR(ISBLANK('MH01'!P139),ISERROR('MH01'!P139)),"",'MH01'!P139)</f>
        <v/>
      </c>
      <c r="O114" s="25" t="str">
        <f>IF(OR(ISBLANK('MH01'!Q139),ISERROR('MH01'!Q139)),"",'MH01'!Q139)</f>
        <v/>
      </c>
    </row>
    <row r="115" spans="1:15" x14ac:dyDescent="0.2">
      <c r="A115" s="25" t="str">
        <f>IF(OR(ISBLANK('MH01'!A140),ISERROR('MH01'!A140)),"",'MH01'!A140)</f>
        <v/>
      </c>
      <c r="B115" s="139" t="str">
        <f>IF(OR(ISBLANK('MH01'!B140),ISERROR('MH01'!B140)),"",'MH01'!B140)</f>
        <v/>
      </c>
      <c r="C115" s="25" t="str">
        <f>IF(OR(ISBLANK('MH01'!C140),ISERROR('MH01'!C140)),"",'MH01'!C140)</f>
        <v/>
      </c>
      <c r="D115" s="25" t="str">
        <f>IF(OR(ISBLANK('MH01'!D140),ISERROR('MH01'!D140)),"",'MH01'!D140)</f>
        <v/>
      </c>
      <c r="E115" s="25" t="str">
        <f>IF(OR(ISBLANK('MH01'!E140),ISERROR('MH01'!E140)),"",'MH01'!E140)</f>
        <v/>
      </c>
      <c r="F115" s="25" t="str">
        <f>IF(OR(ISBLANK('MH01'!F140),ISERROR('MH01'!F140)),"",'MH01'!F140)</f>
        <v/>
      </c>
      <c r="G115" s="25" t="str">
        <f>IF(OR(ISBLANK('MH01'!G140),ISERROR('MH01'!G140)),"",'MH01'!G140)</f>
        <v/>
      </c>
      <c r="H115" s="25" t="str">
        <f>IF(OR(ISBLANK('MH01'!H140),ISERROR('MH01'!H140)),"",'MH01'!H140)</f>
        <v/>
      </c>
      <c r="I115" s="25" t="str">
        <f>IF(OR(ISBLANK('MH01'!I140),ISERROR('MH01'!I140)),"",'MH01'!I140)</f>
        <v/>
      </c>
      <c r="J115" s="25" t="str">
        <f>IF(OR(ISBLANK('MH01'!L140),ISERROR('MH01'!L140)),"",'MH01'!L140)</f>
        <v/>
      </c>
      <c r="K115" s="25" t="str">
        <f>IF(OR(ISBLANK('MH01'!M140),ISERROR('MH01'!M140)),"",'MH01'!M140)</f>
        <v/>
      </c>
      <c r="L115" s="25" t="str">
        <f>IF(OR(ISBLANK('MH01'!N140),ISERROR('MH01'!N140)),"",'MH01'!N140)</f>
        <v/>
      </c>
      <c r="M115" s="25" t="str">
        <f>IF(OR(ISBLANK('MH01'!O140),ISERROR('MH01'!O140)),"",'MH01'!O140)</f>
        <v/>
      </c>
      <c r="N115" s="25" t="str">
        <f>IF(OR(ISBLANK('MH01'!P140),ISERROR('MH01'!P140)),"",'MH01'!P140)</f>
        <v/>
      </c>
      <c r="O115" s="25" t="str">
        <f>IF(OR(ISBLANK('MH01'!Q140),ISERROR('MH01'!Q140)),"",'MH01'!Q140)</f>
        <v/>
      </c>
    </row>
    <row r="116" spans="1:15" x14ac:dyDescent="0.2">
      <c r="A116" s="25" t="str">
        <f>IF(OR(ISBLANK('MH01'!A141),ISERROR('MH01'!A141)),"",'MH01'!A141)</f>
        <v/>
      </c>
      <c r="B116" s="139" t="str">
        <f>IF(OR(ISBLANK('MH01'!B141),ISERROR('MH01'!B141)),"",'MH01'!B141)</f>
        <v/>
      </c>
      <c r="C116" s="25" t="str">
        <f>IF(OR(ISBLANK('MH01'!C141),ISERROR('MH01'!C141)),"",'MH01'!C141)</f>
        <v/>
      </c>
      <c r="D116" s="25" t="str">
        <f>IF(OR(ISBLANK('MH01'!D141),ISERROR('MH01'!D141)),"",'MH01'!D141)</f>
        <v/>
      </c>
      <c r="E116" s="25" t="str">
        <f>IF(OR(ISBLANK('MH01'!E141),ISERROR('MH01'!E141)),"",'MH01'!E141)</f>
        <v/>
      </c>
      <c r="F116" s="25" t="str">
        <f>IF(OR(ISBLANK('MH01'!F141),ISERROR('MH01'!F141)),"",'MH01'!F141)</f>
        <v/>
      </c>
      <c r="G116" s="25" t="str">
        <f>IF(OR(ISBLANK('MH01'!G141),ISERROR('MH01'!G141)),"",'MH01'!G141)</f>
        <v/>
      </c>
      <c r="H116" s="25" t="str">
        <f>IF(OR(ISBLANK('MH01'!H141),ISERROR('MH01'!H141)),"",'MH01'!H141)</f>
        <v/>
      </c>
      <c r="I116" s="25" t="str">
        <f>IF(OR(ISBLANK('MH01'!I141),ISERROR('MH01'!I141)),"",'MH01'!I141)</f>
        <v/>
      </c>
      <c r="J116" s="25" t="str">
        <f>IF(OR(ISBLANK('MH01'!L141),ISERROR('MH01'!L141)),"",'MH01'!L141)</f>
        <v/>
      </c>
      <c r="K116" s="25" t="str">
        <f>IF(OR(ISBLANK('MH01'!M141),ISERROR('MH01'!M141)),"",'MH01'!M141)</f>
        <v/>
      </c>
      <c r="L116" s="25" t="str">
        <f>IF(OR(ISBLANK('MH01'!N141),ISERROR('MH01'!N141)),"",'MH01'!N141)</f>
        <v/>
      </c>
      <c r="M116" s="25" t="str">
        <f>IF(OR(ISBLANK('MH01'!O141),ISERROR('MH01'!O141)),"",'MH01'!O141)</f>
        <v/>
      </c>
      <c r="N116" s="25" t="str">
        <f>IF(OR(ISBLANK('MH01'!P141),ISERROR('MH01'!P141)),"",'MH01'!P141)</f>
        <v/>
      </c>
      <c r="O116" s="25" t="str">
        <f>IF(OR(ISBLANK('MH01'!Q141),ISERROR('MH01'!Q141)),"",'MH01'!Q141)</f>
        <v/>
      </c>
    </row>
    <row r="117" spans="1:15" x14ac:dyDescent="0.2">
      <c r="A117" s="25" t="str">
        <f>IF(OR(ISBLANK('MH01'!A142),ISERROR('MH01'!A142)),"",'MH01'!A142)</f>
        <v/>
      </c>
      <c r="B117" s="139" t="str">
        <f>IF(OR(ISBLANK('MH01'!B142),ISERROR('MH01'!B142)),"",'MH01'!B142)</f>
        <v/>
      </c>
      <c r="C117" s="25" t="str">
        <f>IF(OR(ISBLANK('MH01'!C142),ISERROR('MH01'!C142)),"",'MH01'!C142)</f>
        <v/>
      </c>
      <c r="D117" s="25" t="str">
        <f>IF(OR(ISBLANK('MH01'!D142),ISERROR('MH01'!D142)),"",'MH01'!D142)</f>
        <v/>
      </c>
      <c r="E117" s="25" t="str">
        <f>IF(OR(ISBLANK('MH01'!E142),ISERROR('MH01'!E142)),"",'MH01'!E142)</f>
        <v/>
      </c>
      <c r="F117" s="25" t="str">
        <f>IF(OR(ISBLANK('MH01'!F142),ISERROR('MH01'!F142)),"",'MH01'!F142)</f>
        <v/>
      </c>
      <c r="G117" s="25" t="str">
        <f>IF(OR(ISBLANK('MH01'!G142),ISERROR('MH01'!G142)),"",'MH01'!G142)</f>
        <v/>
      </c>
      <c r="H117" s="25" t="str">
        <f>IF(OR(ISBLANK('MH01'!H142),ISERROR('MH01'!H142)),"",'MH01'!H142)</f>
        <v/>
      </c>
      <c r="I117" s="25" t="str">
        <f>IF(OR(ISBLANK('MH01'!I142),ISERROR('MH01'!I142)),"",'MH01'!I142)</f>
        <v/>
      </c>
      <c r="J117" s="25" t="str">
        <f>IF(OR(ISBLANK('MH01'!L142),ISERROR('MH01'!L142)),"",'MH01'!L142)</f>
        <v/>
      </c>
      <c r="K117" s="25" t="str">
        <f>IF(OR(ISBLANK('MH01'!M142),ISERROR('MH01'!M142)),"",'MH01'!M142)</f>
        <v/>
      </c>
      <c r="L117" s="25" t="str">
        <f>IF(OR(ISBLANK('MH01'!N142),ISERROR('MH01'!N142)),"",'MH01'!N142)</f>
        <v/>
      </c>
      <c r="M117" s="25" t="str">
        <f>IF(OR(ISBLANK('MH01'!O142),ISERROR('MH01'!O142)),"",'MH01'!O142)</f>
        <v/>
      </c>
      <c r="N117" s="25" t="str">
        <f>IF(OR(ISBLANK('MH01'!P142),ISERROR('MH01'!P142)),"",'MH01'!P142)</f>
        <v/>
      </c>
      <c r="O117" s="25" t="str">
        <f>IF(OR(ISBLANK('MH01'!Q142),ISERROR('MH01'!Q142)),"",'MH01'!Q142)</f>
        <v/>
      </c>
    </row>
    <row r="118" spans="1:15" x14ac:dyDescent="0.2">
      <c r="A118" s="25" t="str">
        <f>IF(OR(ISBLANK('MH01'!A143),ISERROR('MH01'!A143)),"",'MH01'!A143)</f>
        <v/>
      </c>
      <c r="B118" s="139" t="str">
        <f>IF(OR(ISBLANK('MH01'!B143),ISERROR('MH01'!B143)),"",'MH01'!B143)</f>
        <v/>
      </c>
      <c r="C118" s="25" t="str">
        <f>IF(OR(ISBLANK('MH01'!C143),ISERROR('MH01'!C143)),"",'MH01'!C143)</f>
        <v/>
      </c>
      <c r="D118" s="25" t="str">
        <f>IF(OR(ISBLANK('MH01'!D143),ISERROR('MH01'!D143)),"",'MH01'!D143)</f>
        <v/>
      </c>
      <c r="E118" s="25" t="str">
        <f>IF(OR(ISBLANK('MH01'!E143),ISERROR('MH01'!E143)),"",'MH01'!E143)</f>
        <v/>
      </c>
      <c r="F118" s="25" t="str">
        <f>IF(OR(ISBLANK('MH01'!F143),ISERROR('MH01'!F143)),"",'MH01'!F143)</f>
        <v/>
      </c>
      <c r="G118" s="25" t="str">
        <f>IF(OR(ISBLANK('MH01'!G143),ISERROR('MH01'!G143)),"",'MH01'!G143)</f>
        <v/>
      </c>
      <c r="H118" s="25" t="str">
        <f>IF(OR(ISBLANK('MH01'!H143),ISERROR('MH01'!H143)),"",'MH01'!H143)</f>
        <v/>
      </c>
      <c r="I118" s="25" t="str">
        <f>IF(OR(ISBLANK('MH01'!I143),ISERROR('MH01'!I143)),"",'MH01'!I143)</f>
        <v/>
      </c>
      <c r="J118" s="25" t="str">
        <f>IF(OR(ISBLANK('MH01'!L143),ISERROR('MH01'!L143)),"",'MH01'!L143)</f>
        <v/>
      </c>
      <c r="K118" s="25" t="str">
        <f>IF(OR(ISBLANK('MH01'!M143),ISERROR('MH01'!M143)),"",'MH01'!M143)</f>
        <v/>
      </c>
      <c r="L118" s="25" t="str">
        <f>IF(OR(ISBLANK('MH01'!N143),ISERROR('MH01'!N143)),"",'MH01'!N143)</f>
        <v/>
      </c>
      <c r="M118" s="25" t="str">
        <f>IF(OR(ISBLANK('MH01'!O143),ISERROR('MH01'!O143)),"",'MH01'!O143)</f>
        <v/>
      </c>
      <c r="N118" s="25" t="str">
        <f>IF(OR(ISBLANK('MH01'!P143),ISERROR('MH01'!P143)),"",'MH01'!P143)</f>
        <v/>
      </c>
      <c r="O118" s="25" t="str">
        <f>IF(OR(ISBLANK('MH01'!Q143),ISERROR('MH01'!Q143)),"",'MH01'!Q143)</f>
        <v/>
      </c>
    </row>
    <row r="119" spans="1:15" x14ac:dyDescent="0.2">
      <c r="A119" s="25" t="str">
        <f>IF(OR(ISBLANK('MH01'!A144),ISERROR('MH01'!A144)),"",'MH01'!A144)</f>
        <v/>
      </c>
      <c r="B119" s="139" t="str">
        <f>IF(OR(ISBLANK('MH01'!B144),ISERROR('MH01'!B144)),"",'MH01'!B144)</f>
        <v/>
      </c>
      <c r="C119" s="25" t="str">
        <f>IF(OR(ISBLANK('MH01'!C144),ISERROR('MH01'!C144)),"",'MH01'!C144)</f>
        <v/>
      </c>
      <c r="D119" s="25" t="str">
        <f>IF(OR(ISBLANK('MH01'!D144),ISERROR('MH01'!D144)),"",'MH01'!D144)</f>
        <v/>
      </c>
      <c r="E119" s="25" t="str">
        <f>IF(OR(ISBLANK('MH01'!E144),ISERROR('MH01'!E144)),"",'MH01'!E144)</f>
        <v/>
      </c>
      <c r="F119" s="25" t="str">
        <f>IF(OR(ISBLANK('MH01'!F144),ISERROR('MH01'!F144)),"",'MH01'!F144)</f>
        <v/>
      </c>
      <c r="G119" s="25" t="str">
        <f>IF(OR(ISBLANK('MH01'!G144),ISERROR('MH01'!G144)),"",'MH01'!G144)</f>
        <v/>
      </c>
      <c r="H119" s="25" t="str">
        <f>IF(OR(ISBLANK('MH01'!H144),ISERROR('MH01'!H144)),"",'MH01'!H144)</f>
        <v/>
      </c>
      <c r="I119" s="25" t="str">
        <f>IF(OR(ISBLANK('MH01'!I144),ISERROR('MH01'!I144)),"",'MH01'!I144)</f>
        <v/>
      </c>
      <c r="J119" s="25" t="str">
        <f>IF(OR(ISBLANK('MH01'!L144),ISERROR('MH01'!L144)),"",'MH01'!L144)</f>
        <v/>
      </c>
      <c r="K119" s="25" t="str">
        <f>IF(OR(ISBLANK('MH01'!M144),ISERROR('MH01'!M144)),"",'MH01'!M144)</f>
        <v/>
      </c>
      <c r="L119" s="25" t="str">
        <f>IF(OR(ISBLANK('MH01'!N144),ISERROR('MH01'!N144)),"",'MH01'!N144)</f>
        <v/>
      </c>
      <c r="M119" s="25" t="str">
        <f>IF(OR(ISBLANK('MH01'!O144),ISERROR('MH01'!O144)),"",'MH01'!O144)</f>
        <v/>
      </c>
      <c r="N119" s="25" t="str">
        <f>IF(OR(ISBLANK('MH01'!P144),ISERROR('MH01'!P144)),"",'MH01'!P144)</f>
        <v/>
      </c>
      <c r="O119" s="25" t="str">
        <f>IF(OR(ISBLANK('MH01'!Q144),ISERROR('MH01'!Q144)),"",'MH01'!Q144)</f>
        <v/>
      </c>
    </row>
    <row r="120" spans="1:15" x14ac:dyDescent="0.2">
      <c r="A120" s="25" t="str">
        <f>IF(OR(ISBLANK('MH01'!A145),ISERROR('MH01'!A145)),"",'MH01'!A145)</f>
        <v/>
      </c>
      <c r="B120" s="139" t="str">
        <f>IF(OR(ISBLANK('MH01'!B145),ISERROR('MH01'!B145)),"",'MH01'!B145)</f>
        <v/>
      </c>
      <c r="C120" s="25" t="str">
        <f>IF(OR(ISBLANK('MH01'!C145),ISERROR('MH01'!C145)),"",'MH01'!C145)</f>
        <v/>
      </c>
      <c r="D120" s="25" t="str">
        <f>IF(OR(ISBLANK('MH01'!D145),ISERROR('MH01'!D145)),"",'MH01'!D145)</f>
        <v/>
      </c>
      <c r="E120" s="25" t="str">
        <f>IF(OR(ISBLANK('MH01'!E145),ISERROR('MH01'!E145)),"",'MH01'!E145)</f>
        <v/>
      </c>
      <c r="F120" s="25" t="str">
        <f>IF(OR(ISBLANK('MH01'!F145),ISERROR('MH01'!F145)),"",'MH01'!F145)</f>
        <v/>
      </c>
      <c r="G120" s="25" t="str">
        <f>IF(OR(ISBLANK('MH01'!G145),ISERROR('MH01'!G145)),"",'MH01'!G145)</f>
        <v/>
      </c>
      <c r="H120" s="25" t="str">
        <f>IF(OR(ISBLANK('MH01'!H145),ISERROR('MH01'!H145)),"",'MH01'!H145)</f>
        <v/>
      </c>
      <c r="I120" s="25" t="str">
        <f>IF(OR(ISBLANK('MH01'!I145),ISERROR('MH01'!I145)),"",'MH01'!I145)</f>
        <v/>
      </c>
      <c r="J120" s="25" t="str">
        <f>IF(OR(ISBLANK('MH01'!L145),ISERROR('MH01'!L145)),"",'MH01'!L145)</f>
        <v/>
      </c>
      <c r="K120" s="25" t="str">
        <f>IF(OR(ISBLANK('MH01'!M145),ISERROR('MH01'!M145)),"",'MH01'!M145)</f>
        <v/>
      </c>
      <c r="L120" s="25" t="str">
        <f>IF(OR(ISBLANK('MH01'!N145),ISERROR('MH01'!N145)),"",'MH01'!N145)</f>
        <v/>
      </c>
      <c r="M120" s="25" t="str">
        <f>IF(OR(ISBLANK('MH01'!O145),ISERROR('MH01'!O145)),"",'MH01'!O145)</f>
        <v/>
      </c>
      <c r="N120" s="25" t="str">
        <f>IF(OR(ISBLANK('MH01'!P145),ISERROR('MH01'!P145)),"",'MH01'!P145)</f>
        <v/>
      </c>
      <c r="O120" s="25" t="str">
        <f>IF(OR(ISBLANK('MH01'!Q145),ISERROR('MH01'!Q145)),"",'MH01'!Q145)</f>
        <v/>
      </c>
    </row>
    <row r="121" spans="1:15" x14ac:dyDescent="0.2">
      <c r="A121" s="25" t="str">
        <f>IF(OR(ISBLANK('MH01'!A146),ISERROR('MH01'!A146)),"",'MH01'!A146)</f>
        <v/>
      </c>
      <c r="B121" s="139" t="str">
        <f>IF(OR(ISBLANK('MH01'!B146),ISERROR('MH01'!B146)),"",'MH01'!B146)</f>
        <v/>
      </c>
      <c r="C121" s="25" t="str">
        <f>IF(OR(ISBLANK('MH01'!C146),ISERROR('MH01'!C146)),"",'MH01'!C146)</f>
        <v/>
      </c>
      <c r="D121" s="25" t="str">
        <f>IF(OR(ISBLANK('MH01'!D146),ISERROR('MH01'!D146)),"",'MH01'!D146)</f>
        <v/>
      </c>
      <c r="E121" s="25" t="str">
        <f>IF(OR(ISBLANK('MH01'!E146),ISERROR('MH01'!E146)),"",'MH01'!E146)</f>
        <v/>
      </c>
      <c r="F121" s="25" t="str">
        <f>IF(OR(ISBLANK('MH01'!F146),ISERROR('MH01'!F146)),"",'MH01'!F146)</f>
        <v/>
      </c>
      <c r="G121" s="25" t="str">
        <f>IF(OR(ISBLANK('MH01'!G146),ISERROR('MH01'!G146)),"",'MH01'!G146)</f>
        <v/>
      </c>
      <c r="H121" s="25" t="str">
        <f>IF(OR(ISBLANK('MH01'!H146),ISERROR('MH01'!H146)),"",'MH01'!H146)</f>
        <v/>
      </c>
      <c r="I121" s="25" t="str">
        <f>IF(OR(ISBLANK('MH01'!I146),ISERROR('MH01'!I146)),"",'MH01'!I146)</f>
        <v/>
      </c>
      <c r="J121" s="25" t="str">
        <f>IF(OR(ISBLANK('MH01'!L146),ISERROR('MH01'!L146)),"",'MH01'!L146)</f>
        <v/>
      </c>
      <c r="K121" s="25" t="str">
        <f>IF(OR(ISBLANK('MH01'!M146),ISERROR('MH01'!M146)),"",'MH01'!M146)</f>
        <v/>
      </c>
      <c r="L121" s="25" t="str">
        <f>IF(OR(ISBLANK('MH01'!N146),ISERROR('MH01'!N146)),"",'MH01'!N146)</f>
        <v/>
      </c>
      <c r="M121" s="25" t="str">
        <f>IF(OR(ISBLANK('MH01'!O146),ISERROR('MH01'!O146)),"",'MH01'!O146)</f>
        <v/>
      </c>
      <c r="N121" s="25" t="str">
        <f>IF(OR(ISBLANK('MH01'!P146),ISERROR('MH01'!P146)),"",'MH01'!P146)</f>
        <v/>
      </c>
      <c r="O121" s="25" t="str">
        <f>IF(OR(ISBLANK('MH01'!Q146),ISERROR('MH01'!Q146)),"",'MH01'!Q146)</f>
        <v/>
      </c>
    </row>
    <row r="122" spans="1:15" x14ac:dyDescent="0.2">
      <c r="A122" s="25" t="str">
        <f>IF(OR(ISBLANK('MH01'!A147),ISERROR('MH01'!A147)),"",'MH01'!A147)</f>
        <v/>
      </c>
      <c r="B122" s="139" t="str">
        <f>IF(OR(ISBLANK('MH01'!B147),ISERROR('MH01'!B147)),"",'MH01'!B147)</f>
        <v/>
      </c>
      <c r="C122" s="25" t="str">
        <f>IF(OR(ISBLANK('MH01'!C147),ISERROR('MH01'!C147)),"",'MH01'!C147)</f>
        <v/>
      </c>
      <c r="D122" s="25" t="str">
        <f>IF(OR(ISBLANK('MH01'!D147),ISERROR('MH01'!D147)),"",'MH01'!D147)</f>
        <v/>
      </c>
      <c r="E122" s="25" t="str">
        <f>IF(OR(ISBLANK('MH01'!E147),ISERROR('MH01'!E147)),"",'MH01'!E147)</f>
        <v/>
      </c>
      <c r="F122" s="25" t="str">
        <f>IF(OR(ISBLANK('MH01'!F147),ISERROR('MH01'!F147)),"",'MH01'!F147)</f>
        <v/>
      </c>
      <c r="G122" s="25" t="str">
        <f>IF(OR(ISBLANK('MH01'!G147),ISERROR('MH01'!G147)),"",'MH01'!G147)</f>
        <v/>
      </c>
      <c r="H122" s="25" t="str">
        <f>IF(OR(ISBLANK('MH01'!H147),ISERROR('MH01'!H147)),"",'MH01'!H147)</f>
        <v/>
      </c>
      <c r="I122" s="25" t="str">
        <f>IF(OR(ISBLANK('MH01'!I147),ISERROR('MH01'!I147)),"",'MH01'!I147)</f>
        <v/>
      </c>
      <c r="J122" s="25" t="str">
        <f>IF(OR(ISBLANK('MH01'!L147),ISERROR('MH01'!L147)),"",'MH01'!L147)</f>
        <v/>
      </c>
      <c r="K122" s="25" t="str">
        <f>IF(OR(ISBLANK('MH01'!M147),ISERROR('MH01'!M147)),"",'MH01'!M147)</f>
        <v/>
      </c>
      <c r="L122" s="25" t="str">
        <f>IF(OR(ISBLANK('MH01'!N147),ISERROR('MH01'!N147)),"",'MH01'!N147)</f>
        <v/>
      </c>
      <c r="M122" s="25" t="str">
        <f>IF(OR(ISBLANK('MH01'!O147),ISERROR('MH01'!O147)),"",'MH01'!O147)</f>
        <v/>
      </c>
      <c r="N122" s="25" t="str">
        <f>IF(OR(ISBLANK('MH01'!P147),ISERROR('MH01'!P147)),"",'MH01'!P147)</f>
        <v/>
      </c>
      <c r="O122" s="25" t="str">
        <f>IF(OR(ISBLANK('MH01'!Q147),ISERROR('MH01'!Q147)),"",'MH01'!Q147)</f>
        <v/>
      </c>
    </row>
    <row r="123" spans="1:15" x14ac:dyDescent="0.2">
      <c r="A123" s="25" t="str">
        <f>IF(OR(ISBLANK('MH01'!A148),ISERROR('MH01'!A148)),"",'MH01'!A148)</f>
        <v/>
      </c>
      <c r="B123" s="139" t="str">
        <f>IF(OR(ISBLANK('MH01'!B148),ISERROR('MH01'!B148)),"",'MH01'!B148)</f>
        <v/>
      </c>
      <c r="C123" s="25" t="str">
        <f>IF(OR(ISBLANK('MH01'!C148),ISERROR('MH01'!C148)),"",'MH01'!C148)</f>
        <v/>
      </c>
      <c r="D123" s="25" t="str">
        <f>IF(OR(ISBLANK('MH01'!D148),ISERROR('MH01'!D148)),"",'MH01'!D148)</f>
        <v/>
      </c>
      <c r="E123" s="25" t="str">
        <f>IF(OR(ISBLANK('MH01'!E148),ISERROR('MH01'!E148)),"",'MH01'!E148)</f>
        <v/>
      </c>
      <c r="F123" s="25" t="str">
        <f>IF(OR(ISBLANK('MH01'!F148),ISERROR('MH01'!F148)),"",'MH01'!F148)</f>
        <v/>
      </c>
      <c r="G123" s="25" t="str">
        <f>IF(OR(ISBLANK('MH01'!G148),ISERROR('MH01'!G148)),"",'MH01'!G148)</f>
        <v/>
      </c>
      <c r="H123" s="25" t="str">
        <f>IF(OR(ISBLANK('MH01'!H148),ISERROR('MH01'!H148)),"",'MH01'!H148)</f>
        <v/>
      </c>
      <c r="I123" s="25" t="str">
        <f>IF(OR(ISBLANK('MH01'!I148),ISERROR('MH01'!I148)),"",'MH01'!I148)</f>
        <v/>
      </c>
      <c r="J123" s="25" t="str">
        <f>IF(OR(ISBLANK('MH01'!L148),ISERROR('MH01'!L148)),"",'MH01'!L148)</f>
        <v/>
      </c>
      <c r="K123" s="25" t="str">
        <f>IF(OR(ISBLANK('MH01'!M148),ISERROR('MH01'!M148)),"",'MH01'!M148)</f>
        <v/>
      </c>
      <c r="L123" s="25" t="str">
        <f>IF(OR(ISBLANK('MH01'!N148),ISERROR('MH01'!N148)),"",'MH01'!N148)</f>
        <v/>
      </c>
      <c r="M123" s="25" t="str">
        <f>IF(OR(ISBLANK('MH01'!O148),ISERROR('MH01'!O148)),"",'MH01'!O148)</f>
        <v/>
      </c>
      <c r="N123" s="25" t="str">
        <f>IF(OR(ISBLANK('MH01'!P148),ISERROR('MH01'!P148)),"",'MH01'!P148)</f>
        <v/>
      </c>
      <c r="O123" s="25" t="str">
        <f>IF(OR(ISBLANK('MH01'!Q148),ISERROR('MH01'!Q148)),"",'MH01'!Q148)</f>
        <v/>
      </c>
    </row>
    <row r="124" spans="1:15" x14ac:dyDescent="0.2">
      <c r="A124" s="25" t="str">
        <f>IF(OR(ISBLANK('MH01'!A149),ISERROR('MH01'!A149)),"",'MH01'!A149)</f>
        <v/>
      </c>
      <c r="B124" s="139" t="str">
        <f>IF(OR(ISBLANK('MH01'!B149),ISERROR('MH01'!B149)),"",'MH01'!B149)</f>
        <v/>
      </c>
      <c r="C124" s="25" t="str">
        <f>IF(OR(ISBLANK('MH01'!C149),ISERROR('MH01'!C149)),"",'MH01'!C149)</f>
        <v/>
      </c>
      <c r="D124" s="25" t="str">
        <f>IF(OR(ISBLANK('MH01'!D149),ISERROR('MH01'!D149)),"",'MH01'!D149)</f>
        <v/>
      </c>
      <c r="E124" s="25" t="str">
        <f>IF(OR(ISBLANK('MH01'!E149),ISERROR('MH01'!E149)),"",'MH01'!E149)</f>
        <v/>
      </c>
      <c r="F124" s="25" t="str">
        <f>IF(OR(ISBLANK('MH01'!F149),ISERROR('MH01'!F149)),"",'MH01'!F149)</f>
        <v/>
      </c>
      <c r="G124" s="25" t="str">
        <f>IF(OR(ISBLANK('MH01'!G149),ISERROR('MH01'!G149)),"",'MH01'!G149)</f>
        <v/>
      </c>
      <c r="H124" s="25" t="str">
        <f>IF(OR(ISBLANK('MH01'!H149),ISERROR('MH01'!H149)),"",'MH01'!H149)</f>
        <v/>
      </c>
      <c r="I124" s="25" t="str">
        <f>IF(OR(ISBLANK('MH01'!I149),ISERROR('MH01'!I149)),"",'MH01'!I149)</f>
        <v/>
      </c>
      <c r="J124" s="25" t="str">
        <f>IF(OR(ISBLANK('MH01'!L149),ISERROR('MH01'!L149)),"",'MH01'!L149)</f>
        <v/>
      </c>
      <c r="K124" s="25" t="str">
        <f>IF(OR(ISBLANK('MH01'!M149),ISERROR('MH01'!M149)),"",'MH01'!M149)</f>
        <v/>
      </c>
      <c r="L124" s="25" t="str">
        <f>IF(OR(ISBLANK('MH01'!N149),ISERROR('MH01'!N149)),"",'MH01'!N149)</f>
        <v/>
      </c>
      <c r="M124" s="25" t="str">
        <f>IF(OR(ISBLANK('MH01'!O149),ISERROR('MH01'!O149)),"",'MH01'!O149)</f>
        <v/>
      </c>
      <c r="N124" s="25" t="str">
        <f>IF(OR(ISBLANK('MH01'!P149),ISERROR('MH01'!P149)),"",'MH01'!P149)</f>
        <v/>
      </c>
      <c r="O124" s="25" t="str">
        <f>IF(OR(ISBLANK('MH01'!Q149),ISERROR('MH01'!Q149)),"",'MH01'!Q149)</f>
        <v/>
      </c>
    </row>
    <row r="125" spans="1:15" x14ac:dyDescent="0.2">
      <c r="A125" s="25" t="str">
        <f>IF(OR(ISBLANK('MH01'!A150),ISERROR('MH01'!A150)),"",'MH01'!A150)</f>
        <v/>
      </c>
      <c r="B125" s="139" t="str">
        <f>IF(OR(ISBLANK('MH01'!B150),ISERROR('MH01'!B150)),"",'MH01'!B150)</f>
        <v/>
      </c>
      <c r="C125" s="25" t="str">
        <f>IF(OR(ISBLANK('MH01'!C150),ISERROR('MH01'!C150)),"",'MH01'!C150)</f>
        <v/>
      </c>
      <c r="D125" s="25" t="str">
        <f>IF(OR(ISBLANK('MH01'!D150),ISERROR('MH01'!D150)),"",'MH01'!D150)</f>
        <v/>
      </c>
      <c r="E125" s="25" t="str">
        <f>IF(OR(ISBLANK('MH01'!E150),ISERROR('MH01'!E150)),"",'MH01'!E150)</f>
        <v/>
      </c>
      <c r="F125" s="25" t="str">
        <f>IF(OR(ISBLANK('MH01'!F150),ISERROR('MH01'!F150)),"",'MH01'!F150)</f>
        <v/>
      </c>
      <c r="G125" s="25" t="str">
        <f>IF(OR(ISBLANK('MH01'!G150),ISERROR('MH01'!G150)),"",'MH01'!G150)</f>
        <v/>
      </c>
      <c r="H125" s="25" t="str">
        <f>IF(OR(ISBLANK('MH01'!H150),ISERROR('MH01'!H150)),"",'MH01'!H150)</f>
        <v/>
      </c>
      <c r="I125" s="25" t="str">
        <f>IF(OR(ISBLANK('MH01'!I150),ISERROR('MH01'!I150)),"",'MH01'!I150)</f>
        <v/>
      </c>
      <c r="J125" s="25" t="str">
        <f>IF(OR(ISBLANK('MH01'!L150),ISERROR('MH01'!L150)),"",'MH01'!L150)</f>
        <v/>
      </c>
      <c r="K125" s="25" t="str">
        <f>IF(OR(ISBLANK('MH01'!M150),ISERROR('MH01'!M150)),"",'MH01'!M150)</f>
        <v/>
      </c>
      <c r="L125" s="25" t="str">
        <f>IF(OR(ISBLANK('MH01'!N150),ISERROR('MH01'!N150)),"",'MH01'!N150)</f>
        <v/>
      </c>
      <c r="M125" s="25" t="str">
        <f>IF(OR(ISBLANK('MH01'!O150),ISERROR('MH01'!O150)),"",'MH01'!O150)</f>
        <v/>
      </c>
      <c r="N125" s="25" t="str">
        <f>IF(OR(ISBLANK('MH01'!P150),ISERROR('MH01'!P150)),"",'MH01'!P150)</f>
        <v/>
      </c>
      <c r="O125" s="25" t="str">
        <f>IF(OR(ISBLANK('MH01'!Q150),ISERROR('MH01'!Q150)),"",'MH01'!Q150)</f>
        <v/>
      </c>
    </row>
    <row r="126" spans="1:15" x14ac:dyDescent="0.2">
      <c r="A126" s="25" t="str">
        <f>IF(OR(ISBLANK('MH01'!A151),ISERROR('MH01'!A151)),"",'MH01'!A151)</f>
        <v/>
      </c>
      <c r="B126" s="139" t="str">
        <f>IF(OR(ISBLANK('MH01'!B151),ISERROR('MH01'!B151)),"",'MH01'!B151)</f>
        <v/>
      </c>
      <c r="C126" s="25" t="str">
        <f>IF(OR(ISBLANK('MH01'!C151),ISERROR('MH01'!C151)),"",'MH01'!C151)</f>
        <v/>
      </c>
      <c r="D126" s="25" t="str">
        <f>IF(OR(ISBLANK('MH01'!D151),ISERROR('MH01'!D151)),"",'MH01'!D151)</f>
        <v/>
      </c>
      <c r="E126" s="25" t="str">
        <f>IF(OR(ISBLANK('MH01'!E151),ISERROR('MH01'!E151)),"",'MH01'!E151)</f>
        <v/>
      </c>
      <c r="F126" s="25" t="str">
        <f>IF(OR(ISBLANK('MH01'!F151),ISERROR('MH01'!F151)),"",'MH01'!F151)</f>
        <v/>
      </c>
      <c r="G126" s="25" t="str">
        <f>IF(OR(ISBLANK('MH01'!G151),ISERROR('MH01'!G151)),"",'MH01'!G151)</f>
        <v/>
      </c>
      <c r="H126" s="25" t="str">
        <f>IF(OR(ISBLANK('MH01'!H151),ISERROR('MH01'!H151)),"",'MH01'!H151)</f>
        <v/>
      </c>
      <c r="I126" s="25" t="str">
        <f>IF(OR(ISBLANK('MH01'!I151),ISERROR('MH01'!I151)),"",'MH01'!I151)</f>
        <v/>
      </c>
      <c r="J126" s="25" t="str">
        <f>IF(OR(ISBLANK('MH01'!L151),ISERROR('MH01'!L151)),"",'MH01'!L151)</f>
        <v/>
      </c>
      <c r="K126" s="25" t="str">
        <f>IF(OR(ISBLANK('MH01'!M151),ISERROR('MH01'!M151)),"",'MH01'!M151)</f>
        <v/>
      </c>
      <c r="L126" s="25" t="str">
        <f>IF(OR(ISBLANK('MH01'!N151),ISERROR('MH01'!N151)),"",'MH01'!N151)</f>
        <v/>
      </c>
      <c r="M126" s="25" t="str">
        <f>IF(OR(ISBLANK('MH01'!O151),ISERROR('MH01'!O151)),"",'MH01'!O151)</f>
        <v/>
      </c>
      <c r="N126" s="25" t="str">
        <f>IF(OR(ISBLANK('MH01'!P151),ISERROR('MH01'!P151)),"",'MH01'!P151)</f>
        <v/>
      </c>
      <c r="O126" s="25" t="str">
        <f>IF(OR(ISBLANK('MH01'!Q151),ISERROR('MH01'!Q151)),"",'MH01'!Q151)</f>
        <v/>
      </c>
    </row>
    <row r="127" spans="1:15" x14ac:dyDescent="0.2">
      <c r="A127" s="25" t="str">
        <f>IF(OR(ISBLANK('MH01'!A152),ISERROR('MH01'!A152)),"",'MH01'!A152)</f>
        <v/>
      </c>
      <c r="B127" s="139" t="str">
        <f>IF(OR(ISBLANK('MH01'!B152),ISERROR('MH01'!B152)),"",'MH01'!B152)</f>
        <v/>
      </c>
      <c r="C127" s="25" t="str">
        <f>IF(OR(ISBLANK('MH01'!C152),ISERROR('MH01'!C152)),"",'MH01'!C152)</f>
        <v/>
      </c>
      <c r="D127" s="25" t="str">
        <f>IF(OR(ISBLANK('MH01'!D152),ISERROR('MH01'!D152)),"",'MH01'!D152)</f>
        <v/>
      </c>
      <c r="E127" s="25" t="str">
        <f>IF(OR(ISBLANK('MH01'!E152),ISERROR('MH01'!E152)),"",'MH01'!E152)</f>
        <v/>
      </c>
      <c r="F127" s="25" t="str">
        <f>IF(OR(ISBLANK('MH01'!F152),ISERROR('MH01'!F152)),"",'MH01'!F152)</f>
        <v/>
      </c>
      <c r="G127" s="25" t="str">
        <f>IF(OR(ISBLANK('MH01'!G152),ISERROR('MH01'!G152)),"",'MH01'!G152)</f>
        <v/>
      </c>
      <c r="H127" s="25" t="str">
        <f>IF(OR(ISBLANK('MH01'!H152),ISERROR('MH01'!H152)),"",'MH01'!H152)</f>
        <v/>
      </c>
      <c r="I127" s="25" t="str">
        <f>IF(OR(ISBLANK('MH01'!I152),ISERROR('MH01'!I152)),"",'MH01'!I152)</f>
        <v/>
      </c>
      <c r="J127" s="25" t="str">
        <f>IF(OR(ISBLANK('MH01'!L152),ISERROR('MH01'!L152)),"",'MH01'!L152)</f>
        <v/>
      </c>
      <c r="K127" s="25" t="str">
        <f>IF(OR(ISBLANK('MH01'!M152),ISERROR('MH01'!M152)),"",'MH01'!M152)</f>
        <v/>
      </c>
      <c r="L127" s="25" t="str">
        <f>IF(OR(ISBLANK('MH01'!N152),ISERROR('MH01'!N152)),"",'MH01'!N152)</f>
        <v/>
      </c>
      <c r="M127" s="25" t="str">
        <f>IF(OR(ISBLANK('MH01'!O152),ISERROR('MH01'!O152)),"",'MH01'!O152)</f>
        <v/>
      </c>
      <c r="N127" s="25" t="str">
        <f>IF(OR(ISBLANK('MH01'!P152),ISERROR('MH01'!P152)),"",'MH01'!P152)</f>
        <v/>
      </c>
      <c r="O127" s="25" t="str">
        <f>IF(OR(ISBLANK('MH01'!Q152),ISERROR('MH01'!Q152)),"",'MH01'!Q152)</f>
        <v/>
      </c>
    </row>
    <row r="128" spans="1:15" x14ac:dyDescent="0.2">
      <c r="A128" s="25" t="str">
        <f>IF(OR(ISBLANK('MH01'!A153),ISERROR('MH01'!A153)),"",'MH01'!A153)</f>
        <v/>
      </c>
      <c r="B128" s="139" t="str">
        <f>IF(OR(ISBLANK('MH01'!B153),ISERROR('MH01'!B153)),"",'MH01'!B153)</f>
        <v/>
      </c>
      <c r="C128" s="25" t="str">
        <f>IF(OR(ISBLANK('MH01'!C153),ISERROR('MH01'!C153)),"",'MH01'!C153)</f>
        <v/>
      </c>
      <c r="D128" s="25" t="str">
        <f>IF(OR(ISBLANK('MH01'!D153),ISERROR('MH01'!D153)),"",'MH01'!D153)</f>
        <v/>
      </c>
      <c r="E128" s="25" t="str">
        <f>IF(OR(ISBLANK('MH01'!E153),ISERROR('MH01'!E153)),"",'MH01'!E153)</f>
        <v/>
      </c>
      <c r="F128" s="25" t="str">
        <f>IF(OR(ISBLANK('MH01'!F153),ISERROR('MH01'!F153)),"",'MH01'!F153)</f>
        <v/>
      </c>
      <c r="G128" s="25" t="str">
        <f>IF(OR(ISBLANK('MH01'!G153),ISERROR('MH01'!G153)),"",'MH01'!G153)</f>
        <v/>
      </c>
      <c r="H128" s="25" t="str">
        <f>IF(OR(ISBLANK('MH01'!H153),ISERROR('MH01'!H153)),"",'MH01'!H153)</f>
        <v/>
      </c>
      <c r="I128" s="25" t="str">
        <f>IF(OR(ISBLANK('MH01'!I153),ISERROR('MH01'!I153)),"",'MH01'!I153)</f>
        <v/>
      </c>
      <c r="J128" s="25" t="str">
        <f>IF(OR(ISBLANK('MH01'!L153),ISERROR('MH01'!L153)),"",'MH01'!L153)</f>
        <v/>
      </c>
      <c r="K128" s="25" t="str">
        <f>IF(OR(ISBLANK('MH01'!M153),ISERROR('MH01'!M153)),"",'MH01'!M153)</f>
        <v/>
      </c>
      <c r="L128" s="25" t="str">
        <f>IF(OR(ISBLANK('MH01'!N153),ISERROR('MH01'!N153)),"",'MH01'!N153)</f>
        <v/>
      </c>
      <c r="M128" s="25" t="str">
        <f>IF(OR(ISBLANK('MH01'!O153),ISERROR('MH01'!O153)),"",'MH01'!O153)</f>
        <v/>
      </c>
      <c r="N128" s="25" t="str">
        <f>IF(OR(ISBLANK('MH01'!P153),ISERROR('MH01'!P153)),"",'MH01'!P153)</f>
        <v/>
      </c>
      <c r="O128" s="25" t="str">
        <f>IF(OR(ISBLANK('MH01'!Q153),ISERROR('MH01'!Q153)),"",'MH01'!Q153)</f>
        <v/>
      </c>
    </row>
    <row r="129" spans="1:15" x14ac:dyDescent="0.2">
      <c r="A129" s="25" t="str">
        <f>IF(OR(ISBLANK('MH01'!A154),ISERROR('MH01'!A154)),"",'MH01'!A154)</f>
        <v/>
      </c>
      <c r="B129" s="139" t="str">
        <f>IF(OR(ISBLANK('MH01'!B154),ISERROR('MH01'!B154)),"",'MH01'!B154)</f>
        <v/>
      </c>
      <c r="C129" s="25" t="str">
        <f>IF(OR(ISBLANK('MH01'!C154),ISERROR('MH01'!C154)),"",'MH01'!C154)</f>
        <v/>
      </c>
      <c r="D129" s="25" t="str">
        <f>IF(OR(ISBLANK('MH01'!D154),ISERROR('MH01'!D154)),"",'MH01'!D154)</f>
        <v/>
      </c>
      <c r="E129" s="25" t="str">
        <f>IF(OR(ISBLANK('MH01'!E154),ISERROR('MH01'!E154)),"",'MH01'!E154)</f>
        <v/>
      </c>
      <c r="F129" s="25" t="str">
        <f>IF(OR(ISBLANK('MH01'!F154),ISERROR('MH01'!F154)),"",'MH01'!F154)</f>
        <v/>
      </c>
      <c r="G129" s="25" t="str">
        <f>IF(OR(ISBLANK('MH01'!G154),ISERROR('MH01'!G154)),"",'MH01'!G154)</f>
        <v/>
      </c>
      <c r="H129" s="25" t="str">
        <f>IF(OR(ISBLANK('MH01'!H154),ISERROR('MH01'!H154)),"",'MH01'!H154)</f>
        <v/>
      </c>
      <c r="I129" s="25" t="str">
        <f>IF(OR(ISBLANK('MH01'!I154),ISERROR('MH01'!I154)),"",'MH01'!I154)</f>
        <v/>
      </c>
      <c r="J129" s="25" t="str">
        <f>IF(OR(ISBLANK('MH01'!L154),ISERROR('MH01'!L154)),"",'MH01'!L154)</f>
        <v/>
      </c>
      <c r="K129" s="25" t="str">
        <f>IF(OR(ISBLANK('MH01'!M154),ISERROR('MH01'!M154)),"",'MH01'!M154)</f>
        <v/>
      </c>
      <c r="L129" s="25" t="str">
        <f>IF(OR(ISBLANK('MH01'!N154),ISERROR('MH01'!N154)),"",'MH01'!N154)</f>
        <v/>
      </c>
      <c r="M129" s="25" t="str">
        <f>IF(OR(ISBLANK('MH01'!O154),ISERROR('MH01'!O154)),"",'MH01'!O154)</f>
        <v/>
      </c>
      <c r="N129" s="25" t="str">
        <f>IF(OR(ISBLANK('MH01'!P154),ISERROR('MH01'!P154)),"",'MH01'!P154)</f>
        <v/>
      </c>
      <c r="O129" s="25" t="str">
        <f>IF(OR(ISBLANK('MH01'!Q154),ISERROR('MH01'!Q154)),"",'MH01'!Q154)</f>
        <v/>
      </c>
    </row>
    <row r="130" spans="1:15" x14ac:dyDescent="0.2">
      <c r="A130" s="25" t="str">
        <f>IF(OR(ISBLANK('MH01'!A155),ISERROR('MH01'!A155)),"",'MH01'!A155)</f>
        <v/>
      </c>
      <c r="B130" s="139" t="str">
        <f>IF(OR(ISBLANK('MH01'!B155),ISERROR('MH01'!B155)),"",'MH01'!B155)</f>
        <v/>
      </c>
      <c r="C130" s="25" t="str">
        <f>IF(OR(ISBLANK('MH01'!C155),ISERROR('MH01'!C155)),"",'MH01'!C155)</f>
        <v/>
      </c>
      <c r="D130" s="25" t="str">
        <f>IF(OR(ISBLANK('MH01'!D155),ISERROR('MH01'!D155)),"",'MH01'!D155)</f>
        <v/>
      </c>
      <c r="E130" s="25" t="str">
        <f>IF(OR(ISBLANK('MH01'!E155),ISERROR('MH01'!E155)),"",'MH01'!E155)</f>
        <v/>
      </c>
      <c r="F130" s="25" t="str">
        <f>IF(OR(ISBLANK('MH01'!F155),ISERROR('MH01'!F155)),"",'MH01'!F155)</f>
        <v/>
      </c>
      <c r="G130" s="25" t="str">
        <f>IF(OR(ISBLANK('MH01'!G155),ISERROR('MH01'!G155)),"",'MH01'!G155)</f>
        <v/>
      </c>
      <c r="H130" s="25" t="str">
        <f>IF(OR(ISBLANK('MH01'!H155),ISERROR('MH01'!H155)),"",'MH01'!H155)</f>
        <v/>
      </c>
      <c r="I130" s="25" t="str">
        <f>IF(OR(ISBLANK('MH01'!I155),ISERROR('MH01'!I155)),"",'MH01'!I155)</f>
        <v/>
      </c>
      <c r="J130" s="25" t="str">
        <f>IF(OR(ISBLANK('MH01'!L155),ISERROR('MH01'!L155)),"",'MH01'!L155)</f>
        <v/>
      </c>
      <c r="K130" s="25" t="str">
        <f>IF(OR(ISBLANK('MH01'!M155),ISERROR('MH01'!M155)),"",'MH01'!M155)</f>
        <v/>
      </c>
      <c r="L130" s="25" t="str">
        <f>IF(OR(ISBLANK('MH01'!N155),ISERROR('MH01'!N155)),"",'MH01'!N155)</f>
        <v/>
      </c>
      <c r="M130" s="25" t="str">
        <f>IF(OR(ISBLANK('MH01'!O155),ISERROR('MH01'!O155)),"",'MH01'!O155)</f>
        <v/>
      </c>
      <c r="N130" s="25" t="str">
        <f>IF(OR(ISBLANK('MH01'!P155),ISERROR('MH01'!P155)),"",'MH01'!P155)</f>
        <v/>
      </c>
      <c r="O130" s="25" t="str">
        <f>IF(OR(ISBLANK('MH01'!Q155),ISERROR('MH01'!Q155)),"",'MH01'!Q155)</f>
        <v/>
      </c>
    </row>
    <row r="131" spans="1:15" x14ac:dyDescent="0.2">
      <c r="A131" s="25" t="str">
        <f>IF(OR(ISBLANK('MH01'!A156),ISERROR('MH01'!A156)),"",'MH01'!A156)</f>
        <v/>
      </c>
      <c r="B131" s="139" t="str">
        <f>IF(OR(ISBLANK('MH01'!B156),ISERROR('MH01'!B156)),"",'MH01'!B156)</f>
        <v/>
      </c>
      <c r="C131" s="25" t="str">
        <f>IF(OR(ISBLANK('MH01'!C156),ISERROR('MH01'!C156)),"",'MH01'!C156)</f>
        <v/>
      </c>
      <c r="D131" s="25" t="str">
        <f>IF(OR(ISBLANK('MH01'!D156),ISERROR('MH01'!D156)),"",'MH01'!D156)</f>
        <v/>
      </c>
      <c r="E131" s="25" t="str">
        <f>IF(OR(ISBLANK('MH01'!E156),ISERROR('MH01'!E156)),"",'MH01'!E156)</f>
        <v/>
      </c>
      <c r="F131" s="25" t="str">
        <f>IF(OR(ISBLANK('MH01'!F156),ISERROR('MH01'!F156)),"",'MH01'!F156)</f>
        <v/>
      </c>
      <c r="G131" s="25" t="str">
        <f>IF(OR(ISBLANK('MH01'!G156),ISERROR('MH01'!G156)),"",'MH01'!G156)</f>
        <v/>
      </c>
      <c r="H131" s="25" t="str">
        <f>IF(OR(ISBLANK('MH01'!H156),ISERROR('MH01'!H156)),"",'MH01'!H156)</f>
        <v/>
      </c>
      <c r="I131" s="25" t="str">
        <f>IF(OR(ISBLANK('MH01'!I156),ISERROR('MH01'!I156)),"",'MH01'!I156)</f>
        <v/>
      </c>
      <c r="J131" s="25" t="str">
        <f>IF(OR(ISBLANK('MH01'!L156),ISERROR('MH01'!L156)),"",'MH01'!L156)</f>
        <v/>
      </c>
      <c r="K131" s="25" t="str">
        <f>IF(OR(ISBLANK('MH01'!M156),ISERROR('MH01'!M156)),"",'MH01'!M156)</f>
        <v/>
      </c>
      <c r="L131" s="25" t="str">
        <f>IF(OR(ISBLANK('MH01'!N156),ISERROR('MH01'!N156)),"",'MH01'!N156)</f>
        <v/>
      </c>
      <c r="M131" s="25" t="str">
        <f>IF(OR(ISBLANK('MH01'!O156),ISERROR('MH01'!O156)),"",'MH01'!O156)</f>
        <v/>
      </c>
      <c r="N131" s="25" t="str">
        <f>IF(OR(ISBLANK('MH01'!P156),ISERROR('MH01'!P156)),"",'MH01'!P156)</f>
        <v/>
      </c>
      <c r="O131" s="25" t="str">
        <f>IF(OR(ISBLANK('MH01'!Q156),ISERROR('MH01'!Q156)),"",'MH01'!Q156)</f>
        <v/>
      </c>
    </row>
    <row r="132" spans="1:15" x14ac:dyDescent="0.2">
      <c r="A132" s="25" t="str">
        <f>IF(OR(ISBLANK('MH01'!A157),ISERROR('MH01'!A157)),"",'MH01'!A157)</f>
        <v/>
      </c>
      <c r="B132" s="139" t="str">
        <f>IF(OR(ISBLANK('MH01'!B157),ISERROR('MH01'!B157)),"",'MH01'!B157)</f>
        <v/>
      </c>
      <c r="C132" s="25" t="str">
        <f>IF(OR(ISBLANK('MH01'!C157),ISERROR('MH01'!C157)),"",'MH01'!C157)</f>
        <v/>
      </c>
      <c r="D132" s="25" t="str">
        <f>IF(OR(ISBLANK('MH01'!D157),ISERROR('MH01'!D157)),"",'MH01'!D157)</f>
        <v/>
      </c>
      <c r="E132" s="25" t="str">
        <f>IF(OR(ISBLANK('MH01'!E157),ISERROR('MH01'!E157)),"",'MH01'!E157)</f>
        <v/>
      </c>
      <c r="F132" s="25" t="str">
        <f>IF(OR(ISBLANK('MH01'!F157),ISERROR('MH01'!F157)),"",'MH01'!F157)</f>
        <v/>
      </c>
      <c r="G132" s="25" t="str">
        <f>IF(OR(ISBLANK('MH01'!G157),ISERROR('MH01'!G157)),"",'MH01'!G157)</f>
        <v/>
      </c>
      <c r="H132" s="25" t="str">
        <f>IF(OR(ISBLANK('MH01'!H157),ISERROR('MH01'!H157)),"",'MH01'!H157)</f>
        <v/>
      </c>
      <c r="I132" s="25" t="str">
        <f>IF(OR(ISBLANK('MH01'!I157),ISERROR('MH01'!I157)),"",'MH01'!I157)</f>
        <v/>
      </c>
      <c r="J132" s="25" t="str">
        <f>IF(OR(ISBLANK('MH01'!L157),ISERROR('MH01'!L157)),"",'MH01'!L157)</f>
        <v/>
      </c>
      <c r="K132" s="25" t="str">
        <f>IF(OR(ISBLANK('MH01'!M157),ISERROR('MH01'!M157)),"",'MH01'!M157)</f>
        <v/>
      </c>
      <c r="L132" s="25" t="str">
        <f>IF(OR(ISBLANK('MH01'!N157),ISERROR('MH01'!N157)),"",'MH01'!N157)</f>
        <v/>
      </c>
      <c r="M132" s="25" t="str">
        <f>IF(OR(ISBLANK('MH01'!O157),ISERROR('MH01'!O157)),"",'MH01'!O157)</f>
        <v/>
      </c>
      <c r="N132" s="25" t="str">
        <f>IF(OR(ISBLANK('MH01'!P157),ISERROR('MH01'!P157)),"",'MH01'!P157)</f>
        <v/>
      </c>
      <c r="O132" s="25" t="str">
        <f>IF(OR(ISBLANK('MH01'!Q157),ISERROR('MH01'!Q157)),"",'MH01'!Q157)</f>
        <v/>
      </c>
    </row>
    <row r="133" spans="1:15" x14ac:dyDescent="0.2">
      <c r="A133" s="25" t="str">
        <f>IF(OR(ISBLANK('MH01'!A158),ISERROR('MH01'!A158)),"",'MH01'!A158)</f>
        <v/>
      </c>
      <c r="B133" s="139" t="str">
        <f>IF(OR(ISBLANK('MH01'!B158),ISERROR('MH01'!B158)),"",'MH01'!B158)</f>
        <v/>
      </c>
      <c r="C133" s="25" t="str">
        <f>IF(OR(ISBLANK('MH01'!C158),ISERROR('MH01'!C158)),"",'MH01'!C158)</f>
        <v/>
      </c>
      <c r="D133" s="25" t="str">
        <f>IF(OR(ISBLANK('MH01'!D158),ISERROR('MH01'!D158)),"",'MH01'!D158)</f>
        <v/>
      </c>
      <c r="E133" s="25" t="str">
        <f>IF(OR(ISBLANK('MH01'!E158),ISERROR('MH01'!E158)),"",'MH01'!E158)</f>
        <v/>
      </c>
      <c r="F133" s="25" t="str">
        <f>IF(OR(ISBLANK('MH01'!F158),ISERROR('MH01'!F158)),"",'MH01'!F158)</f>
        <v/>
      </c>
      <c r="G133" s="25" t="str">
        <f>IF(OR(ISBLANK('MH01'!G158),ISERROR('MH01'!G158)),"",'MH01'!G158)</f>
        <v/>
      </c>
      <c r="H133" s="25" t="str">
        <f>IF(OR(ISBLANK('MH01'!H158),ISERROR('MH01'!H158)),"",'MH01'!H158)</f>
        <v/>
      </c>
      <c r="I133" s="25" t="str">
        <f>IF(OR(ISBLANK('MH01'!I158),ISERROR('MH01'!I158)),"",'MH01'!I158)</f>
        <v/>
      </c>
      <c r="J133" s="25" t="str">
        <f>IF(OR(ISBLANK('MH01'!L158),ISERROR('MH01'!L158)),"",'MH01'!L158)</f>
        <v/>
      </c>
      <c r="K133" s="25" t="str">
        <f>IF(OR(ISBLANK('MH01'!M158),ISERROR('MH01'!M158)),"",'MH01'!M158)</f>
        <v/>
      </c>
      <c r="L133" s="25" t="str">
        <f>IF(OR(ISBLANK('MH01'!N158),ISERROR('MH01'!N158)),"",'MH01'!N158)</f>
        <v/>
      </c>
      <c r="M133" s="25" t="str">
        <f>IF(OR(ISBLANK('MH01'!O158),ISERROR('MH01'!O158)),"",'MH01'!O158)</f>
        <v/>
      </c>
      <c r="N133" s="25" t="str">
        <f>IF(OR(ISBLANK('MH01'!P158),ISERROR('MH01'!P158)),"",'MH01'!P158)</f>
        <v/>
      </c>
      <c r="O133" s="25" t="str">
        <f>IF(OR(ISBLANK('MH01'!Q158),ISERROR('MH01'!Q158)),"",'MH01'!Q158)</f>
        <v/>
      </c>
    </row>
    <row r="134" spans="1:15" x14ac:dyDescent="0.2">
      <c r="A134" s="25" t="str">
        <f>IF(OR(ISBLANK('MH01'!A159),ISERROR('MH01'!A159)),"",'MH01'!A159)</f>
        <v/>
      </c>
      <c r="B134" s="139" t="str">
        <f>IF(OR(ISBLANK('MH01'!B159),ISERROR('MH01'!B159)),"",'MH01'!B159)</f>
        <v/>
      </c>
      <c r="C134" s="25" t="str">
        <f>IF(OR(ISBLANK('MH01'!C159),ISERROR('MH01'!C159)),"",'MH01'!C159)</f>
        <v/>
      </c>
      <c r="D134" s="25" t="str">
        <f>IF(OR(ISBLANK('MH01'!D159),ISERROR('MH01'!D159)),"",'MH01'!D159)</f>
        <v/>
      </c>
      <c r="E134" s="25" t="str">
        <f>IF(OR(ISBLANK('MH01'!E159),ISERROR('MH01'!E159)),"",'MH01'!E159)</f>
        <v/>
      </c>
      <c r="F134" s="25" t="str">
        <f>IF(OR(ISBLANK('MH01'!F159),ISERROR('MH01'!F159)),"",'MH01'!F159)</f>
        <v/>
      </c>
      <c r="G134" s="25" t="str">
        <f>IF(OR(ISBLANK('MH01'!G159),ISERROR('MH01'!G159)),"",'MH01'!G159)</f>
        <v/>
      </c>
      <c r="H134" s="25" t="str">
        <f>IF(OR(ISBLANK('MH01'!H159),ISERROR('MH01'!H159)),"",'MH01'!H159)</f>
        <v/>
      </c>
      <c r="I134" s="25" t="str">
        <f>IF(OR(ISBLANK('MH01'!I159),ISERROR('MH01'!I159)),"",'MH01'!I159)</f>
        <v/>
      </c>
      <c r="J134" s="25" t="str">
        <f>IF(OR(ISBLANK('MH01'!L159),ISERROR('MH01'!L159)),"",'MH01'!L159)</f>
        <v/>
      </c>
      <c r="K134" s="25" t="str">
        <f>IF(OR(ISBLANK('MH01'!M159),ISERROR('MH01'!M159)),"",'MH01'!M159)</f>
        <v/>
      </c>
      <c r="L134" s="25" t="str">
        <f>IF(OR(ISBLANK('MH01'!N159),ISERROR('MH01'!N159)),"",'MH01'!N159)</f>
        <v/>
      </c>
      <c r="M134" s="25" t="str">
        <f>IF(OR(ISBLANK('MH01'!O159),ISERROR('MH01'!O159)),"",'MH01'!O159)</f>
        <v/>
      </c>
      <c r="N134" s="25" t="str">
        <f>IF(OR(ISBLANK('MH01'!P159),ISERROR('MH01'!P159)),"",'MH01'!P159)</f>
        <v/>
      </c>
      <c r="O134" s="25" t="str">
        <f>IF(OR(ISBLANK('MH01'!Q159),ISERROR('MH01'!Q159)),"",'MH01'!Q159)</f>
        <v/>
      </c>
    </row>
    <row r="135" spans="1:15" x14ac:dyDescent="0.2">
      <c r="A135" s="25" t="str">
        <f>IF(OR(ISBLANK('MH01'!A160),ISERROR('MH01'!A160)),"",'MH01'!A160)</f>
        <v/>
      </c>
      <c r="B135" s="139" t="str">
        <f>IF(OR(ISBLANK('MH01'!B160),ISERROR('MH01'!B160)),"",'MH01'!B160)</f>
        <v/>
      </c>
      <c r="C135" s="25" t="str">
        <f>IF(OR(ISBLANK('MH01'!C160),ISERROR('MH01'!C160)),"",'MH01'!C160)</f>
        <v/>
      </c>
      <c r="D135" s="25" t="str">
        <f>IF(OR(ISBLANK('MH01'!D160),ISERROR('MH01'!D160)),"",'MH01'!D160)</f>
        <v/>
      </c>
      <c r="E135" s="25" t="str">
        <f>IF(OR(ISBLANK('MH01'!E160),ISERROR('MH01'!E160)),"",'MH01'!E160)</f>
        <v/>
      </c>
      <c r="F135" s="25" t="str">
        <f>IF(OR(ISBLANK('MH01'!F160),ISERROR('MH01'!F160)),"",'MH01'!F160)</f>
        <v/>
      </c>
      <c r="G135" s="25" t="str">
        <f>IF(OR(ISBLANK('MH01'!G160),ISERROR('MH01'!G160)),"",'MH01'!G160)</f>
        <v/>
      </c>
      <c r="H135" s="25" t="str">
        <f>IF(OR(ISBLANK('MH01'!H160),ISERROR('MH01'!H160)),"",'MH01'!H160)</f>
        <v/>
      </c>
      <c r="I135" s="25" t="str">
        <f>IF(OR(ISBLANK('MH01'!I160),ISERROR('MH01'!I160)),"",'MH01'!I160)</f>
        <v/>
      </c>
      <c r="J135" s="25" t="str">
        <f>IF(OR(ISBLANK('MH01'!L160),ISERROR('MH01'!L160)),"",'MH01'!L160)</f>
        <v/>
      </c>
      <c r="K135" s="25" t="str">
        <f>IF(OR(ISBLANK('MH01'!M160),ISERROR('MH01'!M160)),"",'MH01'!M160)</f>
        <v/>
      </c>
      <c r="L135" s="25" t="str">
        <f>IF(OR(ISBLANK('MH01'!N160),ISERROR('MH01'!N160)),"",'MH01'!N160)</f>
        <v/>
      </c>
      <c r="M135" s="25" t="str">
        <f>IF(OR(ISBLANK('MH01'!O160),ISERROR('MH01'!O160)),"",'MH01'!O160)</f>
        <v/>
      </c>
      <c r="N135" s="25" t="str">
        <f>IF(OR(ISBLANK('MH01'!P160),ISERROR('MH01'!P160)),"",'MH01'!P160)</f>
        <v/>
      </c>
      <c r="O135" s="25" t="str">
        <f>IF(OR(ISBLANK('MH01'!Q160),ISERROR('MH01'!Q160)),"",'MH01'!Q160)</f>
        <v/>
      </c>
    </row>
    <row r="136" spans="1:15" x14ac:dyDescent="0.2">
      <c r="A136" s="25" t="str">
        <f>IF(OR(ISBLANK('MH01'!A161),ISERROR('MH01'!A161)),"",'MH01'!A161)</f>
        <v/>
      </c>
      <c r="B136" s="139" t="str">
        <f>IF(OR(ISBLANK('MH01'!B161),ISERROR('MH01'!B161)),"",'MH01'!B161)</f>
        <v/>
      </c>
      <c r="C136" s="25" t="str">
        <f>IF(OR(ISBLANK('MH01'!C161),ISERROR('MH01'!C161)),"",'MH01'!C161)</f>
        <v/>
      </c>
      <c r="D136" s="25" t="str">
        <f>IF(OR(ISBLANK('MH01'!D161),ISERROR('MH01'!D161)),"",'MH01'!D161)</f>
        <v/>
      </c>
      <c r="E136" s="25" t="str">
        <f>IF(OR(ISBLANK('MH01'!E161),ISERROR('MH01'!E161)),"",'MH01'!E161)</f>
        <v/>
      </c>
      <c r="F136" s="25" t="str">
        <f>IF(OR(ISBLANK('MH01'!F161),ISERROR('MH01'!F161)),"",'MH01'!F161)</f>
        <v/>
      </c>
      <c r="G136" s="25" t="str">
        <f>IF(OR(ISBLANK('MH01'!G161),ISERROR('MH01'!G161)),"",'MH01'!G161)</f>
        <v/>
      </c>
      <c r="H136" s="25" t="str">
        <f>IF(OR(ISBLANK('MH01'!H161),ISERROR('MH01'!H161)),"",'MH01'!H161)</f>
        <v/>
      </c>
      <c r="I136" s="25" t="str">
        <f>IF(OR(ISBLANK('MH01'!I161),ISERROR('MH01'!I161)),"",'MH01'!I161)</f>
        <v/>
      </c>
      <c r="J136" s="25" t="str">
        <f>IF(OR(ISBLANK('MH01'!L161),ISERROR('MH01'!L161)),"",'MH01'!L161)</f>
        <v/>
      </c>
      <c r="K136" s="25" t="str">
        <f>IF(OR(ISBLANK('MH01'!M161),ISERROR('MH01'!M161)),"",'MH01'!M161)</f>
        <v/>
      </c>
      <c r="L136" s="25" t="str">
        <f>IF(OR(ISBLANK('MH01'!N161),ISERROR('MH01'!N161)),"",'MH01'!N161)</f>
        <v/>
      </c>
      <c r="M136" s="25" t="str">
        <f>IF(OR(ISBLANK('MH01'!O161),ISERROR('MH01'!O161)),"",'MH01'!O161)</f>
        <v/>
      </c>
      <c r="N136" s="25" t="str">
        <f>IF(OR(ISBLANK('MH01'!P161),ISERROR('MH01'!P161)),"",'MH01'!P161)</f>
        <v/>
      </c>
      <c r="O136" s="25" t="str">
        <f>IF(OR(ISBLANK('MH01'!Q161),ISERROR('MH01'!Q161)),"",'MH01'!Q161)</f>
        <v/>
      </c>
    </row>
    <row r="137" spans="1:15" x14ac:dyDescent="0.2">
      <c r="A137" s="25" t="str">
        <f>IF(OR(ISBLANK('MH01'!A162),ISERROR('MH01'!A162)),"",'MH01'!A162)</f>
        <v/>
      </c>
      <c r="B137" s="139" t="str">
        <f>IF(OR(ISBLANK('MH01'!B162),ISERROR('MH01'!B162)),"",'MH01'!B162)</f>
        <v/>
      </c>
      <c r="C137" s="25" t="str">
        <f>IF(OR(ISBLANK('MH01'!C162),ISERROR('MH01'!C162)),"",'MH01'!C162)</f>
        <v/>
      </c>
      <c r="D137" s="25" t="str">
        <f>IF(OR(ISBLANK('MH01'!D162),ISERROR('MH01'!D162)),"",'MH01'!D162)</f>
        <v/>
      </c>
      <c r="E137" s="25" t="str">
        <f>IF(OR(ISBLANK('MH01'!E162),ISERROR('MH01'!E162)),"",'MH01'!E162)</f>
        <v/>
      </c>
      <c r="F137" s="25" t="str">
        <f>IF(OR(ISBLANK('MH01'!F162),ISERROR('MH01'!F162)),"",'MH01'!F162)</f>
        <v/>
      </c>
      <c r="G137" s="25" t="str">
        <f>IF(OR(ISBLANK('MH01'!G162),ISERROR('MH01'!G162)),"",'MH01'!G162)</f>
        <v/>
      </c>
      <c r="H137" s="25" t="str">
        <f>IF(OR(ISBLANK('MH01'!H162),ISERROR('MH01'!H162)),"",'MH01'!H162)</f>
        <v/>
      </c>
      <c r="I137" s="25" t="str">
        <f>IF(OR(ISBLANK('MH01'!I162),ISERROR('MH01'!I162)),"",'MH01'!I162)</f>
        <v/>
      </c>
      <c r="J137" s="25" t="str">
        <f>IF(OR(ISBLANK('MH01'!L162),ISERROR('MH01'!L162)),"",'MH01'!L162)</f>
        <v/>
      </c>
      <c r="K137" s="25" t="str">
        <f>IF(OR(ISBLANK('MH01'!M162),ISERROR('MH01'!M162)),"",'MH01'!M162)</f>
        <v/>
      </c>
      <c r="L137" s="25" t="str">
        <f>IF(OR(ISBLANK('MH01'!N162),ISERROR('MH01'!N162)),"",'MH01'!N162)</f>
        <v/>
      </c>
      <c r="M137" s="25" t="str">
        <f>IF(OR(ISBLANK('MH01'!O162),ISERROR('MH01'!O162)),"",'MH01'!O162)</f>
        <v/>
      </c>
      <c r="N137" s="25" t="str">
        <f>IF(OR(ISBLANK('MH01'!P162),ISERROR('MH01'!P162)),"",'MH01'!P162)</f>
        <v/>
      </c>
      <c r="O137" s="25" t="str">
        <f>IF(OR(ISBLANK('MH01'!Q162),ISERROR('MH01'!Q162)),"",'MH01'!Q162)</f>
        <v/>
      </c>
    </row>
    <row r="138" spans="1:15" x14ac:dyDescent="0.2">
      <c r="A138" s="25" t="str">
        <f>IF(OR(ISBLANK('MH01'!A163),ISERROR('MH01'!A163)),"",'MH01'!A163)</f>
        <v/>
      </c>
      <c r="B138" s="139" t="str">
        <f>IF(OR(ISBLANK('MH01'!B163),ISERROR('MH01'!B163)),"",'MH01'!B163)</f>
        <v/>
      </c>
      <c r="C138" s="25" t="str">
        <f>IF(OR(ISBLANK('MH01'!C163),ISERROR('MH01'!C163)),"",'MH01'!C163)</f>
        <v/>
      </c>
      <c r="D138" s="25" t="str">
        <f>IF(OR(ISBLANK('MH01'!D163),ISERROR('MH01'!D163)),"",'MH01'!D163)</f>
        <v/>
      </c>
      <c r="E138" s="25" t="str">
        <f>IF(OR(ISBLANK('MH01'!E163),ISERROR('MH01'!E163)),"",'MH01'!E163)</f>
        <v/>
      </c>
      <c r="F138" s="25" t="str">
        <f>IF(OR(ISBLANK('MH01'!F163),ISERROR('MH01'!F163)),"",'MH01'!F163)</f>
        <v/>
      </c>
      <c r="G138" s="25" t="str">
        <f>IF(OR(ISBLANK('MH01'!G163),ISERROR('MH01'!G163)),"",'MH01'!G163)</f>
        <v/>
      </c>
      <c r="H138" s="25" t="str">
        <f>IF(OR(ISBLANK('MH01'!H163),ISERROR('MH01'!H163)),"",'MH01'!H163)</f>
        <v/>
      </c>
      <c r="I138" s="25" t="str">
        <f>IF(OR(ISBLANK('MH01'!I163),ISERROR('MH01'!I163)),"",'MH01'!I163)</f>
        <v/>
      </c>
      <c r="J138" s="25" t="str">
        <f>IF(OR(ISBLANK('MH01'!L163),ISERROR('MH01'!L163)),"",'MH01'!L163)</f>
        <v/>
      </c>
      <c r="K138" s="25" t="str">
        <f>IF(OR(ISBLANK('MH01'!M163),ISERROR('MH01'!M163)),"",'MH01'!M163)</f>
        <v/>
      </c>
      <c r="L138" s="25" t="str">
        <f>IF(OR(ISBLANK('MH01'!N163),ISERROR('MH01'!N163)),"",'MH01'!N163)</f>
        <v/>
      </c>
      <c r="M138" s="25" t="str">
        <f>IF(OR(ISBLANK('MH01'!O163),ISERROR('MH01'!O163)),"",'MH01'!O163)</f>
        <v/>
      </c>
      <c r="N138" s="25" t="str">
        <f>IF(OR(ISBLANK('MH01'!P163),ISERROR('MH01'!P163)),"",'MH01'!P163)</f>
        <v/>
      </c>
      <c r="O138" s="25" t="str">
        <f>IF(OR(ISBLANK('MH01'!Q163),ISERROR('MH01'!Q163)),"",'MH01'!Q163)</f>
        <v/>
      </c>
    </row>
    <row r="139" spans="1:15" x14ac:dyDescent="0.2">
      <c r="A139" s="25" t="str">
        <f>IF(OR(ISBLANK('MH01'!A164),ISERROR('MH01'!A164)),"",'MH01'!A164)</f>
        <v/>
      </c>
      <c r="B139" s="139" t="str">
        <f>IF(OR(ISBLANK('MH01'!B164),ISERROR('MH01'!B164)),"",'MH01'!B164)</f>
        <v/>
      </c>
      <c r="C139" s="25" t="str">
        <f>IF(OR(ISBLANK('MH01'!C164),ISERROR('MH01'!C164)),"",'MH01'!C164)</f>
        <v/>
      </c>
      <c r="D139" s="25" t="str">
        <f>IF(OR(ISBLANK('MH01'!D164),ISERROR('MH01'!D164)),"",'MH01'!D164)</f>
        <v/>
      </c>
      <c r="E139" s="25" t="str">
        <f>IF(OR(ISBLANK('MH01'!E164),ISERROR('MH01'!E164)),"",'MH01'!E164)</f>
        <v/>
      </c>
      <c r="F139" s="25" t="str">
        <f>IF(OR(ISBLANK('MH01'!F164),ISERROR('MH01'!F164)),"",'MH01'!F164)</f>
        <v/>
      </c>
      <c r="G139" s="25" t="str">
        <f>IF(OR(ISBLANK('MH01'!G164),ISERROR('MH01'!G164)),"",'MH01'!G164)</f>
        <v/>
      </c>
      <c r="H139" s="25" t="str">
        <f>IF(OR(ISBLANK('MH01'!H164),ISERROR('MH01'!H164)),"",'MH01'!H164)</f>
        <v/>
      </c>
      <c r="I139" s="25" t="str">
        <f>IF(OR(ISBLANK('MH01'!I164),ISERROR('MH01'!I164)),"",'MH01'!I164)</f>
        <v/>
      </c>
      <c r="J139" s="25" t="str">
        <f>IF(OR(ISBLANK('MH01'!L164),ISERROR('MH01'!L164)),"",'MH01'!L164)</f>
        <v/>
      </c>
      <c r="K139" s="25" t="str">
        <f>IF(OR(ISBLANK('MH01'!M164),ISERROR('MH01'!M164)),"",'MH01'!M164)</f>
        <v/>
      </c>
      <c r="L139" s="25" t="str">
        <f>IF(OR(ISBLANK('MH01'!N164),ISERROR('MH01'!N164)),"",'MH01'!N164)</f>
        <v/>
      </c>
      <c r="M139" s="25" t="str">
        <f>IF(OR(ISBLANK('MH01'!O164),ISERROR('MH01'!O164)),"",'MH01'!O164)</f>
        <v/>
      </c>
      <c r="N139" s="25" t="str">
        <f>IF(OR(ISBLANK('MH01'!P164),ISERROR('MH01'!P164)),"",'MH01'!P164)</f>
        <v/>
      </c>
      <c r="O139" s="25" t="str">
        <f>IF(OR(ISBLANK('MH01'!Q164),ISERROR('MH01'!Q164)),"",'MH01'!Q164)</f>
        <v/>
      </c>
    </row>
    <row r="140" spans="1:15" x14ac:dyDescent="0.2">
      <c r="A140" s="25" t="str">
        <f>IF(OR(ISBLANK('MH01'!A165),ISERROR('MH01'!A165)),"",'MH01'!A165)</f>
        <v/>
      </c>
      <c r="B140" s="139" t="str">
        <f>IF(OR(ISBLANK('MH01'!B165),ISERROR('MH01'!B165)),"",'MH01'!B165)</f>
        <v/>
      </c>
      <c r="C140" s="25" t="str">
        <f>IF(OR(ISBLANK('MH01'!C165),ISERROR('MH01'!C165)),"",'MH01'!C165)</f>
        <v/>
      </c>
      <c r="D140" s="25" t="str">
        <f>IF(OR(ISBLANK('MH01'!D165),ISERROR('MH01'!D165)),"",'MH01'!D165)</f>
        <v/>
      </c>
      <c r="E140" s="25" t="str">
        <f>IF(OR(ISBLANK('MH01'!E165),ISERROR('MH01'!E165)),"",'MH01'!E165)</f>
        <v/>
      </c>
      <c r="F140" s="25" t="str">
        <f>IF(OR(ISBLANK('MH01'!F165),ISERROR('MH01'!F165)),"",'MH01'!F165)</f>
        <v/>
      </c>
      <c r="G140" s="25" t="str">
        <f>IF(OR(ISBLANK('MH01'!G165),ISERROR('MH01'!G165)),"",'MH01'!G165)</f>
        <v/>
      </c>
      <c r="H140" s="25" t="str">
        <f>IF(OR(ISBLANK('MH01'!H165),ISERROR('MH01'!H165)),"",'MH01'!H165)</f>
        <v/>
      </c>
      <c r="I140" s="25" t="str">
        <f>IF(OR(ISBLANK('MH01'!I165),ISERROR('MH01'!I165)),"",'MH01'!I165)</f>
        <v/>
      </c>
      <c r="J140" s="25" t="str">
        <f>IF(OR(ISBLANK('MH01'!L165),ISERROR('MH01'!L165)),"",'MH01'!L165)</f>
        <v/>
      </c>
      <c r="K140" s="25" t="str">
        <f>IF(OR(ISBLANK('MH01'!M165),ISERROR('MH01'!M165)),"",'MH01'!M165)</f>
        <v/>
      </c>
      <c r="L140" s="25" t="str">
        <f>IF(OR(ISBLANK('MH01'!N165),ISERROR('MH01'!N165)),"",'MH01'!N165)</f>
        <v/>
      </c>
      <c r="M140" s="25" t="str">
        <f>IF(OR(ISBLANK('MH01'!O165),ISERROR('MH01'!O165)),"",'MH01'!O165)</f>
        <v/>
      </c>
      <c r="N140" s="25" t="str">
        <f>IF(OR(ISBLANK('MH01'!P165),ISERROR('MH01'!P165)),"",'MH01'!P165)</f>
        <v/>
      </c>
      <c r="O140" s="25" t="str">
        <f>IF(OR(ISBLANK('MH01'!Q165),ISERROR('MH01'!Q165)),"",'MH01'!Q165)</f>
        <v/>
      </c>
    </row>
  </sheetData>
  <sheetProtection algorithmName="SHA-512" hashValue="OvPC3UdApGkK8PTd997zopg02/AypW/v8J/cpSqJgKPClsJ3iBfSFhhFPu2ZKsH8NNLhsF1xs/9lWIgJ7Ahc3A==" saltValue="fh/DvuNa4qy7CoS+5DlcdQ==" spinCount="100000" sheet="1" objects="1" scenarios="1" formatCells="0"/>
  <mergeCells count="36">
    <mergeCell ref="A2:C2"/>
    <mergeCell ref="L49:M49"/>
    <mergeCell ref="H54:I54"/>
    <mergeCell ref="H55:I55"/>
    <mergeCell ref="C102:G102"/>
    <mergeCell ref="C83:G83"/>
    <mergeCell ref="C81:H81"/>
    <mergeCell ref="H58:I58"/>
    <mergeCell ref="H59:I59"/>
    <mergeCell ref="H63:I63"/>
    <mergeCell ref="H64:I64"/>
    <mergeCell ref="H65:I65"/>
    <mergeCell ref="H60:I60"/>
    <mergeCell ref="F98:G98"/>
    <mergeCell ref="K74:P78"/>
    <mergeCell ref="F46:J46"/>
    <mergeCell ref="B84:B101"/>
    <mergeCell ref="E84:F84"/>
    <mergeCell ref="F95:G95"/>
    <mergeCell ref="F96:G96"/>
    <mergeCell ref="H57:I57"/>
    <mergeCell ref="F97:G97"/>
    <mergeCell ref="F99:G99"/>
    <mergeCell ref="F100:G100"/>
    <mergeCell ref="H49:I49"/>
    <mergeCell ref="H50:I50"/>
    <mergeCell ref="H53:I53"/>
    <mergeCell ref="I20:K20"/>
    <mergeCell ref="I25:K25"/>
    <mergeCell ref="C21:C22"/>
    <mergeCell ref="E25:F25"/>
    <mergeCell ref="D4:F4"/>
    <mergeCell ref="D5:F5"/>
    <mergeCell ref="D7:F7"/>
    <mergeCell ref="C19:D20"/>
    <mergeCell ref="E19:F19"/>
  </mergeCells>
  <phoneticPr fontId="4" type="noConversion"/>
  <conditionalFormatting sqref="C38:G38 C43:F43">
    <cfRule type="expression" dxfId="28" priority="1" stopIfTrue="1">
      <formula>$T$40&lt;&gt;1</formula>
    </cfRule>
  </conditionalFormatting>
  <conditionalFormatting sqref="C39:G39">
    <cfRule type="expression" dxfId="27" priority="2" stopIfTrue="1">
      <formula>$T$40&lt;&gt;2</formula>
    </cfRule>
  </conditionalFormatting>
  <conditionalFormatting sqref="C40:G40 C74:P78">
    <cfRule type="expression" dxfId="26" priority="3" stopIfTrue="1">
      <formula>$T$40&lt;&gt;3</formula>
    </cfRule>
  </conditionalFormatting>
  <conditionalFormatting sqref="G44:I44">
    <cfRule type="expression" dxfId="25" priority="4" stopIfTrue="1">
      <formula>$F$44&lt;5</formula>
    </cfRule>
  </conditionalFormatting>
  <conditionalFormatting sqref="F14">
    <cfRule type="expression" dxfId="24" priority="5" stopIfTrue="1">
      <formula>$T$40=0</formula>
    </cfRule>
  </conditionalFormatting>
  <conditionalFormatting sqref="B74:B78">
    <cfRule type="expression" dxfId="23" priority="6" stopIfTrue="1">
      <formula>$T$40&lt;&gt;3</formula>
    </cfRule>
  </conditionalFormatting>
  <conditionalFormatting sqref="E52:I52 F62 L52:P64">
    <cfRule type="expression" dxfId="22" priority="7" stopIfTrue="1">
      <formula>$T$40=3</formula>
    </cfRule>
  </conditionalFormatting>
  <hyperlinks>
    <hyperlink ref="C29" location="'Test X2'!B81" display="Ir a informe resumido"/>
    <hyperlink ref="A2" location="Presentación!A1" display="&lt; Volver a presentación"/>
    <hyperlink ref="A2:C2" location="INICIO!A1" display="&lt; INICIO"/>
    <hyperlink ref="C28" location="Prevalencia!A1" display="Prevalencia!A1"/>
  </hyperlinks>
  <pageMargins left="0.75" right="0.75" top="1" bottom="1" header="0" footer="0"/>
  <pageSetup paperSize="9" orientation="portrait" horizontalDpi="1200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 de datos">
          <x14:formula1>
            <xm:f>'MH01'!$E$14:$E$16</xm:f>
          </x14:formula1>
          <xm:sqref>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="89" zoomScaleNormal="89" workbookViewId="0">
      <pane ySplit="1" topLeftCell="A2" activePane="bottomLeft" state="frozenSplit"/>
      <selection activeCell="E13" sqref="E13"/>
      <selection pane="bottomLeft" activeCell="I6" sqref="I6"/>
    </sheetView>
  </sheetViews>
  <sheetFormatPr baseColWidth="10" defaultRowHeight="12.75" x14ac:dyDescent="0.2"/>
  <cols>
    <col min="1" max="1" width="2.5703125" style="540" customWidth="1"/>
    <col min="2" max="2" width="2" style="547" customWidth="1"/>
    <col min="3" max="3" width="5.140625" style="539" customWidth="1"/>
    <col min="4" max="4" width="14" style="540" customWidth="1"/>
    <col min="5" max="5" width="13.28515625" style="540" customWidth="1"/>
    <col min="6" max="6" width="12" style="540" customWidth="1"/>
    <col min="7" max="7" width="9.5703125" style="540" customWidth="1"/>
    <col min="8" max="8" width="10.85546875" style="540" customWidth="1"/>
    <col min="9" max="9" width="11" style="540" customWidth="1"/>
    <col min="10" max="10" width="14.28515625" style="540" customWidth="1"/>
    <col min="11" max="11" width="15.140625" style="540" customWidth="1"/>
    <col min="12" max="15" width="8.7109375" style="540" customWidth="1"/>
    <col min="16" max="16384" width="11.42578125" style="540"/>
  </cols>
  <sheetData>
    <row r="1" spans="1:19" s="890" customFormat="1" ht="22.5" customHeight="1" thickBot="1" x14ac:dyDescent="0.25">
      <c r="B1" s="891" t="str">
        <f>INICIO!E1&amp; "   /   Inferencia sobre la prevalencia"</f>
        <v>T2x2   /   Inferencia sobre la prevalencia</v>
      </c>
      <c r="C1" s="892"/>
      <c r="D1" s="893"/>
      <c r="E1" s="894"/>
      <c r="F1" s="894"/>
      <c r="I1" s="895"/>
      <c r="J1" s="896"/>
      <c r="K1" s="897"/>
      <c r="L1" s="898"/>
      <c r="M1" s="897" t="str">
        <f>IF(OR(ISBLANK('MH01'!O1),ISERROR('MH01'!O1)),"",'MH01'!O1)</f>
        <v/>
      </c>
      <c r="N1" s="897" t="str">
        <f>IF(OR(ISBLANK('MH01'!P1),ISERROR('MH01'!P1)),"",'MH01'!P1)</f>
        <v/>
      </c>
    </row>
    <row r="2" spans="1:19" s="196" customFormat="1" ht="15.75" x14ac:dyDescent="0.25">
      <c r="A2" s="1309" t="s">
        <v>421</v>
      </c>
      <c r="B2" s="1309"/>
      <c r="C2" s="1309"/>
      <c r="D2" s="1309"/>
      <c r="E2" s="198"/>
      <c r="F2" s="198"/>
      <c r="I2" s="201"/>
      <c r="J2" s="202"/>
      <c r="K2" s="203"/>
      <c r="L2" s="204"/>
      <c r="M2" s="203"/>
      <c r="N2" s="203"/>
    </row>
    <row r="3" spans="1:19" s="196" customFormat="1" ht="15.75" x14ac:dyDescent="0.25">
      <c r="A3" s="889"/>
      <c r="B3" s="889"/>
      <c r="C3" s="889"/>
      <c r="D3" s="889"/>
      <c r="E3" s="198"/>
      <c r="F3" s="198"/>
      <c r="I3" s="201"/>
      <c r="J3" s="202"/>
      <c r="K3" s="203"/>
      <c r="L3" s="204"/>
      <c r="M3" s="203"/>
      <c r="N3" s="203"/>
    </row>
    <row r="4" spans="1:19" s="196" customFormat="1" ht="16.5" thickBot="1" x14ac:dyDescent="0.3">
      <c r="A4" s="851"/>
      <c r="B4" s="852">
        <f>IF(OR(ISBLANK('MH02'!B6),ISERROR('MH02'!B6)),"",'MH02'!B6)</f>
        <v>1</v>
      </c>
      <c r="C4" s="853" t="s">
        <v>370</v>
      </c>
      <c r="D4" s="542"/>
      <c r="E4" s="542"/>
      <c r="F4" s="542" t="str">
        <f>IF(OR(ISBLANK('MH02'!F6),ISERROR('MH02'!F6)),"",'MH02'!F6)</f>
        <v/>
      </c>
      <c r="G4" s="541" t="str">
        <f>IF(OR(ISBLANK('MH02'!G6),ISERROR('MH02'!G6)),"",'MH02'!G6)</f>
        <v/>
      </c>
      <c r="H4" s="884"/>
      <c r="I4" s="885"/>
      <c r="J4" s="531"/>
      <c r="K4" s="886"/>
      <c r="L4" s="532"/>
      <c r="M4" s="886"/>
      <c r="N4" s="203"/>
    </row>
    <row r="5" spans="1:19" ht="15.75" customHeight="1" x14ac:dyDescent="0.2">
      <c r="A5" s="537" t="str">
        <f>IF(OR(ISBLANK('MH02'!A5),ISERROR('MH02'!A5)),"",'MH02'!A5)</f>
        <v/>
      </c>
      <c r="B5" s="540"/>
      <c r="C5" s="540"/>
      <c r="G5" s="541"/>
      <c r="H5" s="859" t="s">
        <v>372</v>
      </c>
      <c r="I5" s="875"/>
      <c r="J5" s="875"/>
      <c r="K5" s="875"/>
      <c r="L5" s="875"/>
      <c r="M5" s="876"/>
      <c r="N5" s="540" t="str">
        <f>IF(OR(ISBLANK('MH02'!N5),ISERROR('MH02'!N5)),"",'MH02'!N5)</f>
        <v/>
      </c>
      <c r="O5" s="540" t="str">
        <f>IF(OR(ISBLANK('MH02'!O5),ISERROR('MH02'!O5)),"",'MH02'!O5)</f>
        <v/>
      </c>
      <c r="P5" s="540" t="str">
        <f>IF(OR(ISBLANK('MH02'!P5),ISERROR('MH02'!P5)),"",'MH02'!P5)</f>
        <v/>
      </c>
      <c r="Q5" s="540" t="str">
        <f>IF(OR(ISBLANK('MH02'!Q5),ISERROR('MH02'!Q5)),"",'MH02'!Q5)</f>
        <v/>
      </c>
      <c r="R5" s="540" t="str">
        <f>IF(OR(ISBLANK('MH02'!R5),ISERROR('MH02'!R5)),"",'MH02'!R5)</f>
        <v/>
      </c>
    </row>
    <row r="6" spans="1:19" ht="12.75" customHeight="1" x14ac:dyDescent="0.2">
      <c r="A6" s="537"/>
      <c r="B6" s="540"/>
      <c r="C6" s="540"/>
      <c r="D6" s="548" t="str">
        <f>IF(OR(ISBLANK('MH02'!D8),ISERROR('MH02'!D8)),"",'MH02'!D8)</f>
        <v>n</v>
      </c>
      <c r="E6" s="858">
        <f>'Test X2'!G23</f>
        <v>220</v>
      </c>
      <c r="F6" s="777"/>
      <c r="G6" s="541"/>
      <c r="H6" s="860" t="s">
        <v>371</v>
      </c>
      <c r="I6" s="1035" t="s">
        <v>459</v>
      </c>
      <c r="J6" s="874" t="s">
        <v>373</v>
      </c>
      <c r="K6" s="854"/>
      <c r="L6" s="854"/>
      <c r="M6" s="861"/>
      <c r="N6" s="540" t="str">
        <f>IF(OR(ISBLANK('MH02'!N6),ISERROR('MH02'!N6)),"",'MH02'!N6)</f>
        <v/>
      </c>
      <c r="O6" s="540" t="str">
        <f>IF(OR(ISBLANK('MH02'!O6),ISERROR('MH02'!O6)),"",'MH02'!O6)</f>
        <v/>
      </c>
      <c r="P6" s="540" t="str">
        <f>IF(OR(ISBLANK('MH02'!P6),ISERROR('MH02'!P6)),"",'MH02'!P6)</f>
        <v/>
      </c>
      <c r="Q6" s="540" t="str">
        <f>IF(OR(ISBLANK('MH02'!Q6),ISERROR('MH02'!Q6)),"",'MH02'!Q6)</f>
        <v/>
      </c>
      <c r="R6" s="540" t="str">
        <f>IF(OR(ISBLANK('MH02'!R6),ISERROR('MH02'!R6)),"",'MH02'!R6)</f>
        <v/>
      </c>
    </row>
    <row r="7" spans="1:19" ht="12.75" customHeight="1" x14ac:dyDescent="0.2">
      <c r="A7" s="6" t="str">
        <f>IF(OR(ISBLANK('MH02'!A7),ISERROR('MH02'!A7)),"",'MH02'!A7)</f>
        <v/>
      </c>
      <c r="B7" s="543" t="str">
        <f>IF(OR(ISBLANK('MH02'!B7),ISERROR('MH02'!B7)),"",'MH02'!B7)</f>
        <v/>
      </c>
      <c r="C7" s="539" t="str">
        <f>IF(OR(ISBLANK('MH02'!#REF!),ISERROR('MH02'!#REF!)),"",'MH02'!#REF!)</f>
        <v/>
      </c>
      <c r="D7" s="548" t="str">
        <f>IF(OR(ISBLANK('MH02'!D9),ISERROR('MH02'!D9)),"",'MH02'!D9)</f>
        <v>x</v>
      </c>
      <c r="E7" s="858">
        <f>'Test X2'!G21</f>
        <v>100</v>
      </c>
      <c r="F7" s="777"/>
      <c r="G7" s="541" t="str">
        <f>IF(OR(ISBLANK('MH02'!G7),ISERROR('MH02'!G7)),"",'MH02'!G7)</f>
        <v/>
      </c>
      <c r="H7" s="877"/>
      <c r="I7" s="854"/>
      <c r="J7" s="854"/>
      <c r="K7" s="854"/>
      <c r="L7" s="854"/>
      <c r="M7" s="861"/>
      <c r="Q7" s="540" t="str">
        <f>IF(OR(ISBLANK('MH02'!Q7),ISERROR('MH02'!Q7)),"",'MH02'!Q7)</f>
        <v/>
      </c>
      <c r="R7" s="540" t="str">
        <f>IF(OR(ISBLANK('MH02'!R7),ISERROR('MH02'!R7)),"",'MH02'!R7)</f>
        <v/>
      </c>
    </row>
    <row r="8" spans="1:19" x14ac:dyDescent="0.2">
      <c r="A8" s="540" t="str">
        <f>IF(OR(ISBLANK('MH02'!A8),ISERROR('MH02'!A8)),"",'MH02'!A8)</f>
        <v/>
      </c>
      <c r="B8" s="547" t="str">
        <f>IF(OR(ISBLANK('MH02'!B8),ISERROR('MH02'!B8)),"",'MH02'!B8)</f>
        <v/>
      </c>
      <c r="C8" s="539" t="str">
        <f>IF(OR(ISBLANK('MH02'!C8),ISERROR('MH02'!C8)),"",'MH02'!C8)</f>
        <v/>
      </c>
      <c r="D8" s="567" t="str">
        <f>IF(OR(ISBLANK('MH02'!D10),ISERROR('MH02'!D10)),"",'MH02'!D10)</f>
        <v>n-x</v>
      </c>
      <c r="E8" s="555">
        <f>'MH02'!E10</f>
        <v>120</v>
      </c>
      <c r="F8" s="540" t="str">
        <f>IF(OR(ISBLANK('MH02'!F10),ISERROR('MH02'!F10)),"",'MH02'!F10)</f>
        <v/>
      </c>
      <c r="G8" s="541" t="str">
        <f>IF(OR(ISBLANK('MH02'!G8),ISERROR('MH02'!G8)),"",'MH02'!G8)</f>
        <v/>
      </c>
      <c r="H8" s="1314" t="str">
        <f>'Test X2'!C82</f>
        <v># Estudio Transversal</v>
      </c>
      <c r="I8" s="1315"/>
      <c r="J8" s="1315"/>
      <c r="K8" s="1315"/>
      <c r="L8" s="1315"/>
      <c r="M8" s="862"/>
    </row>
    <row r="9" spans="1:19" x14ac:dyDescent="0.2">
      <c r="A9" s="540" t="str">
        <f>IF(OR(ISBLANK('MH02'!A9),ISERROR('MH02'!A9)),"",'MH02'!A9)</f>
        <v/>
      </c>
      <c r="B9" s="547" t="str">
        <f>IF(OR(ISBLANK('MH02'!B9),ISERROR('MH02'!B9)),"",'MH02'!B9)</f>
        <v/>
      </c>
      <c r="C9" s="539" t="str">
        <f>IF(OR(ISBLANK('MH02'!C9),ISERROR('MH02'!C9)),"",'MH02'!C9)</f>
        <v/>
      </c>
      <c r="D9" s="540" t="str">
        <f>IF(OR(ISBLANK('MH02'!D11),ISERROR('MH02'!D11)),"",'MH02'!D11)</f>
        <v/>
      </c>
      <c r="E9" s="540" t="str">
        <f>IF(OR(ISBLANK('MH02'!E11),ISERROR('MH02'!E11)),"",'MH02'!E11)</f>
        <v/>
      </c>
      <c r="F9" s="6" t="str">
        <f>IF(OR(ISBLANK('MH02'!F11),ISERROR('MH02'!F11)),"",'MH02'!F11)</f>
        <v/>
      </c>
      <c r="G9" s="541" t="str">
        <f>IF(OR(ISBLANK('MH02'!G9),ISERROR('MH02'!G9)),"",'MH02'!G9)</f>
        <v/>
      </c>
      <c r="H9" s="863"/>
      <c r="I9" s="855" t="str">
        <f>'Test X2'!D19</f>
        <v/>
      </c>
      <c r="J9" s="1313" t="str">
        <f>'Test X2'!E19</f>
        <v>Droga</v>
      </c>
      <c r="K9" s="1313"/>
      <c r="L9" s="855" t="str">
        <f>'Test X2'!G19</f>
        <v/>
      </c>
      <c r="M9" s="864"/>
      <c r="R9" s="552">
        <f>IF(OR(ISBLANK('MH02'!R9),ISERROR('MH02'!R9)),"",'MH02'!R9)</f>
        <v>2</v>
      </c>
    </row>
    <row r="10" spans="1:19" x14ac:dyDescent="0.2">
      <c r="A10" s="540" t="str">
        <f>IF(OR(ISBLANK('MH02'!A10),ISERROR('MH02'!A10)),"",'MH02'!A10)</f>
        <v/>
      </c>
      <c r="B10" s="547" t="str">
        <f>IF(OR(ISBLANK('MH02'!B10),ISERROR('MH02'!B10)),"",'MH02'!B10)</f>
        <v/>
      </c>
      <c r="C10" s="539" t="str">
        <f>IF(OR(ISBLANK('MH02'!C10),ISERROR('MH02'!C10)),"",'MH02'!C10)</f>
        <v/>
      </c>
      <c r="D10" s="548" t="str">
        <f>IF(OR(ISBLANK('MH02'!D12),ISERROR('MH02'!D12)),"",'MH02'!D12)</f>
        <v>Confianza (%)</v>
      </c>
      <c r="E10" s="1259">
        <v>0.95</v>
      </c>
      <c r="F10" s="554" t="str">
        <f>IF(OR(ISBLANK('MH02'!G12),ISERROR('MH02'!G12)),"",'MH02'!G12)</f>
        <v/>
      </c>
      <c r="G10" s="541" t="str">
        <f>IF(OR(ISBLANK('MH02'!G10),ISERROR('MH02'!G10)),"",'MH02'!G10)</f>
        <v/>
      </c>
      <c r="H10" s="865"/>
      <c r="I10" s="855" t="str">
        <f>'Test X2'!D20</f>
        <v/>
      </c>
      <c r="J10" s="856" t="str">
        <f>'Test X2'!E20</f>
        <v>Fenilepinefrina</v>
      </c>
      <c r="K10" s="856" t="str">
        <f>'Test X2'!F20</f>
        <v>Norepinefrina</v>
      </c>
      <c r="L10" s="855" t="str">
        <f>'Test X2'!G20</f>
        <v/>
      </c>
      <c r="M10" s="866" t="str">
        <f>IF(OR(ISBLANK('MH02'!M10),ISERROR('MH02'!M10)),"",'MH02'!M10)</f>
        <v/>
      </c>
      <c r="S10" s="214"/>
    </row>
    <row r="11" spans="1:19" ht="12" customHeight="1" x14ac:dyDescent="0.2">
      <c r="A11" s="540" t="str">
        <f>IF(OR(ISBLANK('MH02'!A11),ISERROR('MH02'!A11)),"",'MH02'!A11)</f>
        <v/>
      </c>
      <c r="B11" s="547" t="str">
        <f>IF(OR(ISBLANK('MH02'!B11),ISERROR('MH02'!B11)),"",'MH02'!B11)</f>
        <v/>
      </c>
      <c r="C11" s="539" t="str">
        <f>IF(OR(ISBLANK('MH02'!C11),ISERROR('MH02'!C11)),"",'MH02'!C11)</f>
        <v/>
      </c>
      <c r="D11" s="555" t="s">
        <v>233</v>
      </c>
      <c r="E11" s="556">
        <f>IF(OR(ISBLANK('MH02'!E13),ISERROR('MH02'!E13)),"",'MH02'!E13)</f>
        <v>1.9599639845400536</v>
      </c>
      <c r="F11" s="540" t="str">
        <f>IF(OR(ISBLANK('MH02'!F13),ISERROR('MH02'!F13)),"",'MH02'!F13)</f>
        <v/>
      </c>
      <c r="G11" s="541" t="str">
        <f>IF(OR(ISBLANK('MH02'!G11),ISERROR('MH02'!G11)),"",'MH02'!G11)</f>
        <v/>
      </c>
      <c r="H11" s="1316" t="str">
        <f>'Test X2'!C21</f>
        <v xml:space="preserve">Bradicardia  </v>
      </c>
      <c r="I11" s="856" t="str">
        <f>'Test X2'!D21</f>
        <v>Si</v>
      </c>
      <c r="J11" s="878">
        <f>'Test X2'!E21</f>
        <v>75</v>
      </c>
      <c r="K11" s="882">
        <f>'Test X2'!F21</f>
        <v>25</v>
      </c>
      <c r="L11" s="879">
        <f>'Test X2'!G21</f>
        <v>100</v>
      </c>
      <c r="M11" s="867" t="str">
        <f>IF(L11=$E$7,"&lt;","")</f>
        <v>&lt;</v>
      </c>
      <c r="Q11" s="540" t="str">
        <f>IF(OR(ISBLANK('MH02'!Q11),ISERROR('MH02'!Q11)),"",'MH02'!Q11)</f>
        <v/>
      </c>
      <c r="S11" s="210"/>
    </row>
    <row r="12" spans="1:19" x14ac:dyDescent="0.2">
      <c r="A12" s="540" t="str">
        <f>IF(OR(ISBLANK('MH02'!A12),ISERROR('MH02'!A12)),"",'MH02'!A12)</f>
        <v/>
      </c>
      <c r="B12" s="547" t="str">
        <f>IF(OR(ISBLANK('MH02'!B12),ISERROR('MH02'!B12)),"",'MH02'!B12)</f>
        <v/>
      </c>
      <c r="C12" s="539" t="str">
        <f>IF(OR(ISBLANK('MH02'!C12),ISERROR('MH02'!C12)),"",'MH02'!C12)</f>
        <v/>
      </c>
      <c r="G12" s="541"/>
      <c r="H12" s="1316"/>
      <c r="I12" s="856" t="str">
        <f>'Test X2'!D22</f>
        <v>No</v>
      </c>
      <c r="J12" s="880">
        <f>'Test X2'!E22</f>
        <v>30</v>
      </c>
      <c r="K12" s="883">
        <f>'Test X2'!F22</f>
        <v>90</v>
      </c>
      <c r="L12" s="881">
        <f>'Test X2'!G22</f>
        <v>120</v>
      </c>
      <c r="M12" s="868" t="str">
        <f>IF(L12=$E$7,"&lt;","")</f>
        <v/>
      </c>
      <c r="Q12" s="540" t="str">
        <f>IF(OR(ISBLANK('MH02'!Q12),ISERROR('MH02'!Q12)),"",'MH02'!Q12)</f>
        <v/>
      </c>
      <c r="S12" s="210"/>
    </row>
    <row r="13" spans="1:19" ht="13.5" thickBot="1" x14ac:dyDescent="0.25">
      <c r="A13" s="540" t="str">
        <f>IF(OR(ISBLANK('MH02'!A13),ISERROR('MH02'!A13)),"",'MH02'!A13)</f>
        <v/>
      </c>
      <c r="B13" s="800">
        <f>IF(OR(ISBLANK('MH02'!B17),ISERROR('MH02'!B17)),"",'MH02'!B17)</f>
        <v>2</v>
      </c>
      <c r="C13" s="563" t="str">
        <f>IF(OR(ISBLANK('MH02'!C17),ISERROR('MH02'!C17)),"",'MH02'!C17)</f>
        <v>Estimaciones puntuales</v>
      </c>
      <c r="D13" s="542"/>
      <c r="E13" s="542"/>
      <c r="F13" s="542" t="str">
        <f>IF(OR(ISBLANK('MH02'!F17),ISERROR('MH02'!F17)),"",'MH02'!F17)</f>
        <v/>
      </c>
      <c r="G13" s="557" t="str">
        <f>IF(OR(ISBLANK('MH02'!G17),ISERROR('MH02'!G17)),"",'MH02'!G17)</f>
        <v/>
      </c>
      <c r="H13" s="863" t="str">
        <f>IF(OR(ISBLANK('MH02'!H10),ISERROR('MH02'!H10)),"",'MH02'!H10)</f>
        <v/>
      </c>
      <c r="I13" s="855" t="str">
        <f>'Test X2'!D23</f>
        <v/>
      </c>
      <c r="J13" s="880">
        <f>'Test X2'!E23</f>
        <v>105</v>
      </c>
      <c r="K13" s="883">
        <f>'Test X2'!F23</f>
        <v>115</v>
      </c>
      <c r="L13" s="857">
        <f>'Test X2'!G23</f>
        <v>220</v>
      </c>
      <c r="M13" s="866" t="str">
        <f>IF(OR(ISBLANK('MH02'!M13),ISERROR('MH02'!M13)),"",'MH02'!M13)</f>
        <v/>
      </c>
      <c r="N13" s="540" t="str">
        <f>IF(OR(ISBLANK('MH02'!N13),ISERROR('MH02'!N13)),"",'MH02'!N13)</f>
        <v/>
      </c>
      <c r="O13" s="540" t="str">
        <f>IF(OR(ISBLANK('MH02'!O13),ISERROR('MH02'!O13)),"",'MH02'!O13)</f>
        <v/>
      </c>
      <c r="P13" s="540" t="str">
        <f>IF(OR(ISBLANK('MH02'!P13),ISERROR('MH02'!P13)),"",'MH02'!P13)</f>
        <v/>
      </c>
      <c r="Q13" s="540" t="str">
        <f>IF(OR(ISBLANK('MH02'!Q13),ISERROR('MH02'!Q13)),"",'MH02'!Q13)</f>
        <v/>
      </c>
    </row>
    <row r="14" spans="1:19" x14ac:dyDescent="0.2">
      <c r="B14" s="547" t="str">
        <f>IF(OR(ISBLANK('MH02'!B18),ISERROR('MH02'!B18)),"",'MH02'!B18)</f>
        <v/>
      </c>
      <c r="C14" s="539" t="str">
        <f>IF(OR(ISBLANK('MH02'!C18),ISERROR('MH02'!C18)),"",'MH02'!C18)</f>
        <v/>
      </c>
      <c r="D14" s="553" t="str">
        <f>IF(OR(ISBLANK('MH02'!D18),ISERROR('MH02'!D18)),"",'MH02'!D18)</f>
        <v>p</v>
      </c>
      <c r="E14" s="564">
        <f>IF(OR(ISBLANK('MH02'!E18),ISERROR('MH02'!E18)),"",'MH02'!E18)</f>
        <v>0.45454545454545453</v>
      </c>
      <c r="F14" s="565">
        <f>IF(OR(ISBLANK('MH02'!F18),ISERROR('MH02'!F18)),"",'MH02'!F18)</f>
        <v>0.45454545454545453</v>
      </c>
      <c r="G14" s="566" t="str">
        <f>IF(OR(ISBLANK('MH02'!G18),ISERROR('MH02'!G18)),"",'MH02'!G18)</f>
        <v/>
      </c>
      <c r="H14" s="869"/>
      <c r="I14" s="870"/>
      <c r="J14" s="871" t="str">
        <f>IF(J13=$E$7,"^","")</f>
        <v/>
      </c>
      <c r="K14" s="871" t="str">
        <f>IF(K13=$E$7,"^","")</f>
        <v/>
      </c>
      <c r="L14" s="872"/>
      <c r="M14" s="873"/>
    </row>
    <row r="15" spans="1:19" x14ac:dyDescent="0.2">
      <c r="A15" s="540" t="str">
        <f>IF(OR(ISBLANK('MH02'!A16),ISERROR('MH02'!A16)),"",'MH02'!A16)</f>
        <v/>
      </c>
      <c r="B15" s="547" t="str">
        <f>IF(OR(ISBLANK('MH02'!B19),ISERROR('MH02'!B19)),"",'MH02'!B19)</f>
        <v/>
      </c>
      <c r="C15" s="539" t="str">
        <f>IF(OR(ISBLANK('MH02'!C19),ISERROR('MH02'!C19)),"",'MH02'!C19)</f>
        <v/>
      </c>
      <c r="D15" s="567" t="str">
        <f>IF(OR(ISBLANK('MH02'!D19),ISERROR('MH02'!D19)),"",'MH02'!D19)</f>
        <v>q  (=1-p)</v>
      </c>
      <c r="E15" s="568">
        <f>IF(OR(ISBLANK('MH02'!E19),ISERROR('MH02'!E19)),"",'MH02'!E19)</f>
        <v>0.54545454545454541</v>
      </c>
      <c r="F15" s="569">
        <f>IF(OR(ISBLANK('MH02'!F19),ISERROR('MH02'!F19)),"",'MH02'!F19)</f>
        <v>0.54545454545454541</v>
      </c>
      <c r="G15" s="566" t="str">
        <f>IF(OR(ISBLANK('MH02'!G19),ISERROR('MH02'!G19)),"",'MH02'!G19)</f>
        <v/>
      </c>
      <c r="H15" s="1310" t="str">
        <f>'MH01'!J17</f>
        <v/>
      </c>
      <c r="I15" s="1310"/>
      <c r="J15" s="1310"/>
      <c r="K15" s="1310"/>
      <c r="L15" s="1310"/>
      <c r="M15" s="1310"/>
      <c r="O15" s="540" t="str">
        <f>IF(OR(ISBLANK('MH02'!O16),ISERROR('MH02'!O16)),"",'MH02'!O16)</f>
        <v/>
      </c>
      <c r="P15" s="540" t="str">
        <f>IF(OR(ISBLANK('MH02'!P16),ISERROR('MH02'!P16)),"",'MH02'!P16)</f>
        <v/>
      </c>
      <c r="Q15" s="540" t="str">
        <f>IF(OR(ISBLANK('MH02'!Q16),ISERROR('MH02'!Q16)),"",'MH02'!Q16)</f>
        <v/>
      </c>
      <c r="R15" s="540" t="str">
        <f>IF(OR(ISBLANK('MH02'!R16),ISERROR('MH02'!R16)),"",'MH02'!R16)</f>
        <v/>
      </c>
    </row>
    <row r="16" spans="1:19" ht="12" customHeight="1" x14ac:dyDescent="0.2">
      <c r="A16" s="6" t="str">
        <f>IF(OR(ISBLANK('MH02'!A17),ISERROR('MH02'!A17)),"",'MH02'!A17)</f>
        <v/>
      </c>
      <c r="B16" s="540"/>
      <c r="C16" s="540"/>
      <c r="G16" s="541"/>
      <c r="H16" s="1311"/>
      <c r="I16" s="1311"/>
      <c r="J16" s="1311"/>
      <c r="K16" s="1311"/>
      <c r="L16" s="1311"/>
      <c r="M16" s="1311"/>
      <c r="N16" s="540" t="str">
        <f>IF(OR(ISBLANK('MH02'!N17),ISERROR('MH02'!N17)),"",'MH02'!N17)</f>
        <v/>
      </c>
      <c r="O16" s="540" t="str">
        <f>IF(OR(ISBLANK('MH02'!O17),ISERROR('MH02'!O17)),"",'MH02'!O17)</f>
        <v/>
      </c>
    </row>
    <row r="17" spans="1:16" ht="13.5" thickBot="1" x14ac:dyDescent="0.25">
      <c r="A17" s="540" t="str">
        <f>IF(OR(ISBLANK('MH02'!A21),ISERROR('MH02'!A21)),"",'MH02'!A21)</f>
        <v/>
      </c>
      <c r="B17" s="800">
        <f>IF(OR(ISBLANK('MH02'!B21),ISERROR('MH02'!B21)),"",'MH02'!B21)</f>
        <v>3</v>
      </c>
      <c r="C17" s="573" t="str">
        <f>IF(OR(ISBLANK('MH02'!C21),ISERROR('MH02'!C21)),"",'MH02'!C21)</f>
        <v>Intervalo de confianza y tamaño de muestra</v>
      </c>
      <c r="D17" s="574"/>
      <c r="E17" s="575"/>
      <c r="F17" s="542"/>
      <c r="G17" s="576"/>
      <c r="H17" s="577" t="str">
        <f>IF(OR(ISBLANK('MH02'!H21),ISERROR('MH02'!H21)),"",'MH02'!H21)</f>
        <v/>
      </c>
      <c r="I17" s="542" t="str">
        <f>IF(OR(ISBLANK('MH02'!I21),ISERROR('MH02'!I21)),"",'MH02'!I21)</f>
        <v/>
      </c>
      <c r="J17" s="542" t="str">
        <f>IF(OR(ISBLANK('MH02'!J21),ISERROR('MH02'!J21)),"",'MH02'!J21)</f>
        <v/>
      </c>
      <c r="K17" s="542" t="str">
        <f>IF(OR(ISBLANK('MH02'!K21),ISERROR('MH02'!K21)),"",'MH02'!K21)</f>
        <v/>
      </c>
      <c r="L17" s="542" t="str">
        <f>IF(OR(ISBLANK('MH02'!L21),ISERROR('MH02'!L21)),"",'MH02'!L21)</f>
        <v/>
      </c>
      <c r="M17" s="540" t="str">
        <f>IF(OR(ISBLANK('MH02'!M21),ISERROR('MH02'!M21)),"",'MH02'!M21)</f>
        <v/>
      </c>
      <c r="N17" s="540" t="str">
        <f>IF(OR(ISBLANK('MH02'!N21),ISERROR('MH02'!N21)),"",'MH02'!N21)</f>
        <v/>
      </c>
      <c r="O17" s="540" t="str">
        <f>IF(OR(ISBLANK('MH02'!O21),ISERROR('MH02'!O21)),"",'MH02'!O21)</f>
        <v/>
      </c>
      <c r="P17" s="540" t="str">
        <f>IF(OR(ISBLANK('MH02'!P21),ISERROR('MH02'!P21)),"",'MH02'!P21)</f>
        <v/>
      </c>
    </row>
    <row r="18" spans="1:16" ht="5.25" customHeight="1" x14ac:dyDescent="0.2">
      <c r="A18" s="540" t="str">
        <f>IF(OR(ISBLANK('MH02'!A22),ISERROR('MH02'!A22)),"",'MH02'!A22)</f>
        <v/>
      </c>
      <c r="B18" s="538" t="str">
        <f>IF(OR(ISBLANK('MH02'!B22),ISERROR('MH02'!B22)),"",'MH02'!B22)</f>
        <v/>
      </c>
      <c r="C18" s="558" t="str">
        <f>IF(OR(ISBLANK('MH02'!C22),ISERROR('MH02'!C22)),"",'MH02'!C22)</f>
        <v/>
      </c>
      <c r="D18" s="571"/>
      <c r="E18" s="572" t="str">
        <f>IF(OR(ISBLANK('MH02'!E22),ISERROR('MH02'!E22)),"",'MH02'!E22)</f>
        <v/>
      </c>
      <c r="F18" s="540" t="str">
        <f>IF(OR(ISBLANK('MH02'!F22),ISERROR('MH02'!F22)),"",'MH02'!F22)</f>
        <v/>
      </c>
      <c r="G18" s="566" t="str">
        <f>IF(OR(ISBLANK('MH02'!G22),ISERROR('MH02'!G22)),"",'MH02'!G22)</f>
        <v/>
      </c>
      <c r="H18" s="559" t="str">
        <f>IF(OR(ISBLANK('MH02'!H22),ISERROR('MH02'!H22)),"",'MH02'!H22)</f>
        <v/>
      </c>
      <c r="I18" s="540" t="str">
        <f>IF(OR(ISBLANK('MH02'!I22),ISERROR('MH02'!I22)),"",'MH02'!I22)</f>
        <v/>
      </c>
      <c r="J18" s="540" t="str">
        <f>IF(OR(ISBLANK('MH02'!J22),ISERROR('MH02'!J22)),"",'MH02'!J22)</f>
        <v/>
      </c>
      <c r="K18" s="540" t="str">
        <f>IF(OR(ISBLANK('MH02'!K22),ISERROR('MH02'!K22)),"",'MH02'!K22)</f>
        <v/>
      </c>
      <c r="L18" s="540" t="str">
        <f>IF(OR(ISBLANK('MH02'!L22),ISERROR('MH02'!L22)),"",'MH02'!L22)</f>
        <v/>
      </c>
      <c r="M18" s="540" t="str">
        <f>IF(OR(ISBLANK('MH02'!M22),ISERROR('MH02'!M22)),"",'MH02'!M22)</f>
        <v/>
      </c>
      <c r="N18" s="540" t="str">
        <f>IF(OR(ISBLANK('MH02'!N22),ISERROR('MH02'!N22)),"",'MH02'!N22)</f>
        <v/>
      </c>
      <c r="O18" s="540" t="str">
        <f>IF(OR(ISBLANK('MH02'!O22),ISERROR('MH02'!O22)),"",'MH02'!O22)</f>
        <v/>
      </c>
      <c r="P18" s="540" t="str">
        <f>IF(OR(ISBLANK('MH02'!P22),ISERROR('MH02'!P22)),"",'MH02'!P22)</f>
        <v/>
      </c>
    </row>
    <row r="19" spans="1:16" ht="15" customHeight="1" x14ac:dyDescent="0.2">
      <c r="A19" s="578" t="str">
        <f>IF(OR(ISBLANK('MH02'!A24),ISERROR('MH02'!A24)),"",'MH02'!A24)</f>
        <v/>
      </c>
      <c r="B19" s="538" t="str">
        <f>IF(OR(ISBLANK('MH02'!B24),ISERROR('MH02'!B24)),"",'MH02'!B24)</f>
        <v/>
      </c>
      <c r="C19" s="558"/>
      <c r="D19" s="541"/>
      <c r="E19" s="541"/>
      <c r="F19" s="579"/>
      <c r="G19" s="580"/>
      <c r="H19" s="581"/>
      <c r="I19" s="1312" t="s">
        <v>234</v>
      </c>
      <c r="J19" s="1312"/>
      <c r="K19" s="1312"/>
      <c r="L19" s="541"/>
      <c r="M19" s="541"/>
      <c r="N19" s="541"/>
      <c r="O19" s="541"/>
      <c r="P19" s="541"/>
    </row>
    <row r="20" spans="1:16" x14ac:dyDescent="0.2">
      <c r="A20" s="6" t="str">
        <f>IF(OR(ISBLANK('MH02'!A25),ISERROR('MH02'!A25)),"",'MH02'!A25)</f>
        <v/>
      </c>
      <c r="B20" s="562" t="str">
        <f>IF(OR(ISBLANK('MH02'!B25),ISERROR('MH02'!B25)),"",'MH02'!B25)</f>
        <v/>
      </c>
      <c r="C20" s="801" t="s">
        <v>235</v>
      </c>
      <c r="D20" s="583" t="str">
        <f>IF(OR(ISBLANK('MH02'!K24),ISERROR('MH02'!K24)),"",'MH02'!K24)</f>
        <v>Método</v>
      </c>
      <c r="E20" s="584" t="str">
        <f>IF(OR(ISBLANK('MH02'!L24),ISERROR('MH02'!L24)),"",'MH02'!L24)</f>
        <v>IC(-)</v>
      </c>
      <c r="F20" s="584" t="str">
        <f>IF(OR(ISBLANK('MH02'!M24),ISERROR('MH02'!M24)),"",'MH02'!M24)</f>
        <v>IC(+)</v>
      </c>
      <c r="G20" s="584" t="str">
        <f>IF(OR(ISBLANK('MH02'!N24),ISERROR('MH02'!N24)),"",'MH02'!N24)</f>
        <v>d</v>
      </c>
      <c r="H20" s="585" t="str">
        <f>IF(OR(ISBLANK('MH02'!S24),ISERROR('MH02'!S24)),"",'MH02'!S24)</f>
        <v>Validez</v>
      </c>
      <c r="I20" s="586" t="str">
        <f>IF(OR(ISBLANK('MH02'!P24),ISERROR('MH02'!P24)),"",'MH02'!P24)</f>
        <v>IC(-)</v>
      </c>
      <c r="J20" s="586" t="str">
        <f>IF(OR(ISBLANK('MH02'!Q24),ISERROR('MH02'!Q24)),"",'MH02'!Q24)</f>
        <v>IC(+)</v>
      </c>
      <c r="K20" s="586" t="str">
        <f>IF(OR(ISBLANK('MH02'!R24),ISERROR('MH02'!R24)),"",'MH02'!R24)</f>
        <v>d</v>
      </c>
      <c r="L20" s="541" t="str">
        <f>IF(OR(ISBLANK('MH02'!#REF!),ISERROR('MH02'!#REF!)),"",'MH02'!#REF!)</f>
        <v/>
      </c>
      <c r="M20" s="541"/>
      <c r="N20" s="541"/>
      <c r="O20" s="541"/>
      <c r="P20" s="541"/>
    </row>
    <row r="21" spans="1:16" x14ac:dyDescent="0.2">
      <c r="A21" s="578" t="str">
        <f>IF(OR(ISBLANK('MH02'!A26),ISERROR('MH02'!A26)),"",'MH02'!A26)</f>
        <v/>
      </c>
      <c r="B21" s="538" t="str">
        <f>IF(OR(ISBLANK('MH02'!B26),ISERROR('MH02'!B26)),"",'MH02'!B26)</f>
        <v/>
      </c>
      <c r="C21" s="558"/>
      <c r="D21" s="583" t="str">
        <f>IF(OR(ISBLANK('MH02'!K25),ISERROR('MH02'!K25)),"",'MH02'!K25)</f>
        <v>Exacto</v>
      </c>
      <c r="E21" s="587">
        <f>IF(OR(ISBLANK('MH02'!L25),ISERROR('MH02'!L25)),"",'MH02'!L25)</f>
        <v>0.38748545855406907</v>
      </c>
      <c r="F21" s="587">
        <f>IF(OR(ISBLANK('MH02'!M25),ISERROR('MH02'!M25)),"",'MH02'!M25)</f>
        <v>0.52284689888604008</v>
      </c>
      <c r="G21" s="587">
        <f>IF(OR(ISBLANK('MH02'!N25),ISERROR('MH02'!N25)),"",'MH02'!N25)</f>
        <v>6.7680720165985503E-2</v>
      </c>
      <c r="H21" s="588" t="str">
        <f>IF(OR(ISBLANK('MH02'!O25),ISERROR('MH02'!O25)),"",'MH02'!O25)</f>
        <v>Si</v>
      </c>
      <c r="I21" s="589">
        <f>IF(OR(ISBLANK('MH02'!P25),ISERROR('MH02'!P25)),"",'MH02'!P25)</f>
        <v>0.38748545855406907</v>
      </c>
      <c r="J21" s="589">
        <f>IF(OR(ISBLANK('MH02'!Q25),ISERROR('MH02'!Q25)),"",'MH02'!Q25)</f>
        <v>0.52284689888604008</v>
      </c>
      <c r="K21" s="589">
        <f>IF(OR(ISBLANK('MH02'!R25),ISERROR('MH02'!R25)),"",'MH02'!R25)</f>
        <v>6.7680720165985503E-2</v>
      </c>
      <c r="L21" s="541" t="str">
        <f>IF(OR(ISBLANK('MH02'!#REF!),ISERROR('MH02'!#REF!)),"",'MH02'!#REF!)</f>
        <v/>
      </c>
      <c r="M21" s="541"/>
      <c r="N21" s="541"/>
      <c r="O21" s="541"/>
      <c r="P21" s="541"/>
    </row>
    <row r="22" spans="1:16" x14ac:dyDescent="0.2">
      <c r="A22" s="540" t="str">
        <f>IF(OR(ISBLANK('MH02'!A27),ISERROR('MH02'!A27)),"",'MH02'!A27)</f>
        <v/>
      </c>
      <c r="B22" s="538" t="str">
        <f>IF(OR(ISBLANK('MH02'!B27),ISERROR('MH02'!B27)),"",'MH02'!B27)</f>
        <v/>
      </c>
      <c r="C22" s="590"/>
      <c r="D22" s="583" t="str">
        <f>IF(OR(ISBLANK('MH02'!K26),ISERROR('MH02'!K26)),"",'MH02'!K26)</f>
        <v>Wilson</v>
      </c>
      <c r="E22" s="587">
        <f>IF(OR(ISBLANK('MH02'!L26),ISERROR('MH02'!L26)),"",'MH02'!L26)</f>
        <v>0.38788476137975447</v>
      </c>
      <c r="F22" s="587">
        <f>IF(OR(ISBLANK('MH02'!M26),ISERROR('MH02'!M26)),"",'MH02'!M26)</f>
        <v>0.52281970754254692</v>
      </c>
      <c r="G22" s="587">
        <f>IF(OR(ISBLANK('MH02'!N26),ISERROR('MH02'!N26)),"",'MH02'!N26)</f>
        <v>6.7467473081396223E-2</v>
      </c>
      <c r="H22" s="588" t="str">
        <f>IF(OR(ISBLANK('MH02'!O26),ISERROR('MH02'!O26)),"",'MH02'!O26)</f>
        <v>Si</v>
      </c>
      <c r="I22" s="589">
        <f>IF(OR(ISBLANK('MH02'!P26),ISERROR('MH02'!P26)),"",'MH02'!P26)</f>
        <v>0.38788476137975447</v>
      </c>
      <c r="J22" s="589">
        <f>IF(OR(ISBLANK('MH02'!Q26),ISERROR('MH02'!Q26)),"",'MH02'!Q26)</f>
        <v>0.52281970754254692</v>
      </c>
      <c r="K22" s="589">
        <f>IF(OR(ISBLANK('MH02'!R26),ISERROR('MH02'!R26)),"",'MH02'!R26)</f>
        <v>6.7467473081396223E-2</v>
      </c>
      <c r="L22" s="541" t="str">
        <f>IF(OR(ISBLANK('MH02'!#REF!),ISERROR('MH02'!#REF!)),"",'MH02'!#REF!)</f>
        <v/>
      </c>
      <c r="M22" s="541"/>
      <c r="N22" s="541"/>
      <c r="O22" s="541"/>
      <c r="P22" s="541"/>
    </row>
    <row r="23" spans="1:16" x14ac:dyDescent="0.2">
      <c r="A23" s="540" t="str">
        <f>IF(OR(ISBLANK('MH02'!A28),ISERROR('MH02'!A28)),"",'MH02'!A28)</f>
        <v/>
      </c>
      <c r="B23" s="538" t="str">
        <f>IF(OR(ISBLANK('MH02'!B28),ISERROR('MH02'!B28)),"",'MH02'!B28)</f>
        <v/>
      </c>
      <c r="C23" s="590"/>
      <c r="D23" s="583" t="str">
        <f>IF(OR(ISBLANK('MH02'!K27),ISERROR('MH02'!K27)),"",'MH02'!K27)</f>
        <v>Wald</v>
      </c>
      <c r="E23" s="587">
        <f>IF(OR(ISBLANK('MH02'!L27),ISERROR('MH02'!L27)),"",'MH02'!L27)</f>
        <v>0.38647593933013752</v>
      </c>
      <c r="F23" s="587">
        <f>IF(OR(ISBLANK('MH02'!M27),ISERROR('MH02'!M27)),"",'MH02'!M27)</f>
        <v>0.5226149697607716</v>
      </c>
      <c r="G23" s="587">
        <f>IF(OR(ISBLANK('MH02'!N27),ISERROR('MH02'!N27)),"",'MH02'!N27)</f>
        <v>6.8069515215317039E-2</v>
      </c>
      <c r="H23" s="588" t="str">
        <f>IF(OR(ISBLANK('MH02'!O27),ISERROR('MH02'!O27)),"",'MH02'!O27)</f>
        <v>Si</v>
      </c>
      <c r="I23" s="589">
        <f>IF(OR(ISBLANK('MH02'!P27),ISERROR('MH02'!P27)),"",'MH02'!P27)</f>
        <v>0.38647593933013752</v>
      </c>
      <c r="J23" s="589">
        <f>IF(OR(ISBLANK('MH02'!Q27),ISERROR('MH02'!Q27)),"",'MH02'!Q27)</f>
        <v>0.5226149697607716</v>
      </c>
      <c r="K23" s="589">
        <f>IF(OR(ISBLANK('MH02'!R27),ISERROR('MH02'!R27)),"",'MH02'!R27)</f>
        <v>6.8069515215317039E-2</v>
      </c>
      <c r="L23" s="541" t="str">
        <f>IF(OR(ISBLANK('MH02'!#REF!),ISERROR('MH02'!#REF!)),"",'MH02'!#REF!)</f>
        <v/>
      </c>
      <c r="M23" s="541"/>
      <c r="N23" s="541"/>
      <c r="O23" s="541"/>
      <c r="P23" s="541"/>
    </row>
    <row r="24" spans="1:16" x14ac:dyDescent="0.2">
      <c r="A24" s="540" t="str">
        <f>IF(OR(ISBLANK('MH02'!A29),ISERROR('MH02'!A29)),"",'MH02'!A29)</f>
        <v/>
      </c>
      <c r="B24" s="578" t="str">
        <f>IF(OR(ISBLANK('MH02'!B29),ISERROR('MH02'!B29)),"",'MH02'!B29)</f>
        <v/>
      </c>
      <c r="C24" s="582"/>
      <c r="D24" s="583" t="str">
        <f>IF(OR(ISBLANK('MH02'!K28),ISERROR('MH02'!K28)),"",'MH02'!K28)</f>
        <v>Wald Ajustado</v>
      </c>
      <c r="E24" s="587">
        <f>IF(OR(ISBLANK('MH02'!L28),ISERROR('MH02'!L28)),"",'MH02'!L28)</f>
        <v>0.39014085652912184</v>
      </c>
      <c r="F24" s="587">
        <f>IF(OR(ISBLANK('MH02'!M28),ISERROR('MH02'!M28)),"",'MH02'!M28)</f>
        <v>0.52057342918516392</v>
      </c>
      <c r="G24" s="587">
        <f>IF(OR(ISBLANK('MH02'!N28),ISERROR('MH02'!N28)),"",'MH02'!N28)</f>
        <v>6.5216286328021025E-2</v>
      </c>
      <c r="H24" s="588" t="str">
        <f>IF(OR(ISBLANK('MH02'!O28),ISERROR('MH02'!O28)),"",'MH02'!O28)</f>
        <v>Si</v>
      </c>
      <c r="I24" s="589">
        <f>IF(OR(ISBLANK('MH02'!P28),ISERROR('MH02'!P28)),"",'MH02'!P28)</f>
        <v>0.39014085652912184</v>
      </c>
      <c r="J24" s="589">
        <f>IF(OR(ISBLANK('MH02'!Q28),ISERROR('MH02'!Q28)),"",'MH02'!Q28)</f>
        <v>0.52057342918516392</v>
      </c>
      <c r="K24" s="589">
        <f>IF(OR(ISBLANK('MH02'!R28),ISERROR('MH02'!R28)),"",'MH02'!R28)</f>
        <v>6.5216286328021025E-2</v>
      </c>
      <c r="L24" s="541" t="str">
        <f>IF(OR(ISBLANK('MH02'!#REF!),ISERROR('MH02'!#REF!)),"",'MH02'!#REF!)</f>
        <v/>
      </c>
      <c r="M24" s="541"/>
      <c r="N24" s="541"/>
      <c r="O24" s="541"/>
      <c r="P24" s="541"/>
    </row>
    <row r="25" spans="1:16" x14ac:dyDescent="0.2">
      <c r="B25" s="538"/>
      <c r="C25" s="533"/>
      <c r="D25" s="591" t="str">
        <f>IF(OR(ISBLANK('MH02'!D25),ISERROR('MH02'!D25)),"",'MH02'!D25)</f>
        <v>Confianza: 95%</v>
      </c>
      <c r="E25" s="548"/>
      <c r="F25" s="579"/>
      <c r="G25" s="592"/>
      <c r="H25" s="593"/>
      <c r="K25" s="142"/>
      <c r="L25" s="541"/>
    </row>
    <row r="26" spans="1:16" x14ac:dyDescent="0.2">
      <c r="A26" s="540" t="str">
        <f>IF(OR(ISBLANK('MH02'!A39),ISERROR('MH02'!A39)),"",'MH02'!A39)</f>
        <v/>
      </c>
      <c r="B26" s="538" t="str">
        <f>IF(OR(ISBLANK('MH02'!B39),ISERROR('MH02'!B39)),"",'MH02'!B39)</f>
        <v/>
      </c>
      <c r="C26" s="533" t="str">
        <f>IF(OR(ISBLANK('MH02'!C39),ISERROR('MH02'!C39)),"",'MH02'!C39)</f>
        <v/>
      </c>
      <c r="D26" s="540" t="str">
        <f>IF(OR(ISBLANK('MH02'!D39),ISERROR('MH02'!D39)),"",'MH02'!D39)</f>
        <v/>
      </c>
      <c r="E26" s="540" t="str">
        <f>IF(OR(ISBLANK('MH02'!E39),ISERROR('MH02'!E39)),"",'MH02'!E39)</f>
        <v/>
      </c>
      <c r="F26" s="540" t="str">
        <f>IF(OR(ISBLANK('MH02'!F39),ISERROR('MH02'!F39)),"",'MH02'!F39)</f>
        <v/>
      </c>
      <c r="G26" s="540" t="str">
        <f>IF(OR(ISBLANK('MH02'!G39),ISERROR('MH02'!G39)),"",'MH02'!G39)</f>
        <v/>
      </c>
      <c r="H26" s="540" t="str">
        <f>IF(OR(ISBLANK('MH02'!H39),ISERROR('MH02'!H39)),"",'MH02'!H39)</f>
        <v/>
      </c>
      <c r="I26" s="540" t="str">
        <f>IF(OR(ISBLANK('MH02'!I39),ISERROR('MH02'!I39)),"",'MH02'!I39)</f>
        <v/>
      </c>
      <c r="J26" s="540" t="str">
        <f>IF(OR(ISBLANK('MH02'!J39),ISERROR('MH02'!J39)),"",'MH02'!J39)</f>
        <v/>
      </c>
      <c r="K26" s="142" t="str">
        <f>IF(OR(ISBLANK('MH02'!K39),ISERROR('MH02'!K39)),"",'MH02'!K39)</f>
        <v/>
      </c>
      <c r="L26" s="541" t="str">
        <f>IF(OR(ISBLANK('MH02'!L39),ISERROR('MH02'!L39)),"",'MH02'!L39)</f>
        <v/>
      </c>
      <c r="M26" s="540" t="str">
        <f>IF(OR(ISBLANK('MH02'!M39),ISERROR('MH02'!M39)),"",'MH02'!M39)</f>
        <v/>
      </c>
      <c r="N26" s="540" t="str">
        <f>IF(OR(ISBLANK('MH02'!N39),ISERROR('MH02'!N39)),"",'MH02'!N39)</f>
        <v/>
      </c>
      <c r="O26" s="540" t="str">
        <f>IF(OR(ISBLANK('MH02'!O39),ISERROR('MH02'!O39)),"",'MH02'!O39)</f>
        <v/>
      </c>
      <c r="P26" s="540" t="str">
        <f>IF(OR(ISBLANK('MH02'!P39),ISERROR('MH02'!P39)),"",'MH02'!P39)</f>
        <v/>
      </c>
    </row>
    <row r="27" spans="1:16" x14ac:dyDescent="0.2">
      <c r="A27" s="540" t="str">
        <f>IF(OR(ISBLANK('MH02'!A40),ISERROR('MH02'!A40)),"",'MH02'!A40)</f>
        <v/>
      </c>
      <c r="B27" s="538" t="str">
        <f>IF(OR(ISBLANK('MH02'!B40),ISERROR('MH02'!B40)),"",'MH02'!B40)</f>
        <v/>
      </c>
      <c r="C27" s="801" t="str">
        <f>IF(OR(ISBLANK('MH02'!C40),ISERROR('MH02'!C40)),"",'MH02'!C40)</f>
        <v>3b</v>
      </c>
      <c r="D27" s="578" t="str">
        <f>IF(OR(ISBLANK('MH02'!D40),ISERROR('MH02'!D40)),"",'MH02'!D40)</f>
        <v>Tamaño de muestra (sin cpc.  Nivel de confianza = 95%)</v>
      </c>
      <c r="E27" s="595"/>
      <c r="F27" s="142"/>
      <c r="H27" s="534"/>
      <c r="I27" s="534" t="str">
        <f>IF(OR(ISBLANK('MH02'!I40),ISERROR('MH02'!I40)),"",'MH02'!I40)</f>
        <v/>
      </c>
      <c r="J27" s="540" t="str">
        <f>IF(OR(ISBLANK('MH02'!J40),ISERROR('MH02'!J40)),"",'MH02'!J40)</f>
        <v/>
      </c>
      <c r="K27" s="540" t="str">
        <f>IF(OR(ISBLANK('MH02'!K40),ISERROR('MH02'!K40)),"",'MH02'!K40)</f>
        <v/>
      </c>
      <c r="L27" s="540" t="str">
        <f>IF(OR(ISBLANK('MH02'!L40),ISERROR('MH02'!L40)),"",'MH02'!L40)</f>
        <v/>
      </c>
      <c r="M27" s="540" t="str">
        <f>IF(OR(ISBLANK('MH02'!M40),ISERROR('MH02'!M40)),"",'MH02'!M40)</f>
        <v/>
      </c>
      <c r="N27" s="540" t="str">
        <f>IF(OR(ISBLANK('MH02'!N40),ISERROR('MH02'!N40)),"",'MH02'!N40)</f>
        <v/>
      </c>
      <c r="O27" s="540" t="str">
        <f>IF(OR(ISBLANK('MH02'!O40),ISERROR('MH02'!O40)),"",'MH02'!O40)</f>
        <v/>
      </c>
      <c r="P27" s="540" t="str">
        <f>IF(OR(ISBLANK('MH02'!P40),ISERROR('MH02'!P40)),"",'MH02'!P40)</f>
        <v/>
      </c>
    </row>
    <row r="28" spans="1:16" ht="3" customHeight="1" x14ac:dyDescent="0.2">
      <c r="A28" s="540" t="str">
        <f>IF(OR(ISBLANK('MH02'!A41),ISERROR('MH02'!A41)),"",'MH02'!A41)</f>
        <v/>
      </c>
      <c r="B28" s="538" t="str">
        <f>IF(OR(ISBLANK('MH02'!B41),ISERROR('MH02'!B41)),"",'MH02'!B41)</f>
        <v/>
      </c>
      <c r="C28" s="558" t="str">
        <f>IF(OR(ISBLANK('MH02'!C41),ISERROR('MH02'!C41)),"",'MH02'!C41)</f>
        <v/>
      </c>
      <c r="D28" s="596" t="str">
        <f>IF(OR(ISBLANK('MH02'!D41),ISERROR('MH02'!D41)),"",'MH02'!D41)</f>
        <v/>
      </c>
      <c r="E28" s="534" t="str">
        <f>IF(OR(ISBLANK('MH02'!#REF!),ISERROR('MH02'!#REF!)),"",'MH02'!#REF!)</f>
        <v/>
      </c>
      <c r="F28" s="534" t="str">
        <f>IF(OR(ISBLANK('MH02'!F41),ISERROR('MH02'!F41)),"",'MH02'!F41)</f>
        <v/>
      </c>
      <c r="G28" s="540" t="str">
        <f>IF(OR(ISBLANK('MH02'!G41),ISERROR('MH02'!G41)),"",'MH02'!G41)</f>
        <v/>
      </c>
      <c r="H28" s="534" t="str">
        <f>IF(OR(ISBLANK('MH02'!H41),ISERROR('MH02'!H41)),"",'MH02'!H41)</f>
        <v/>
      </c>
      <c r="I28" s="540" t="str">
        <f>IF(OR(ISBLANK('MH02'!I41),ISERROR('MH02'!I41)),"",'MH02'!I41)</f>
        <v/>
      </c>
      <c r="J28" s="540" t="str">
        <f>IF(OR(ISBLANK('MH02'!J41),ISERROR('MH02'!J41)),"",'MH02'!J41)</f>
        <v/>
      </c>
      <c r="K28" s="540" t="str">
        <f>IF(OR(ISBLANK('MH02'!K41),ISERROR('MH02'!K41)),"",'MH02'!K41)</f>
        <v/>
      </c>
      <c r="L28" s="540" t="str">
        <f>IF(OR(ISBLANK('MH02'!L41),ISERROR('MH02'!L41)),"",'MH02'!L41)</f>
        <v/>
      </c>
      <c r="M28" s="540" t="str">
        <f>IF(OR(ISBLANK('MH02'!M41),ISERROR('MH02'!M41)),"",'MH02'!M41)</f>
        <v/>
      </c>
      <c r="N28" s="540" t="str">
        <f>IF(OR(ISBLANK('MH02'!N41),ISERROR('MH02'!N41)),"",'MH02'!N41)</f>
        <v/>
      </c>
      <c r="O28" s="540" t="str">
        <f>IF(OR(ISBLANK('MH02'!O41),ISERROR('MH02'!O41)),"",'MH02'!O41)</f>
        <v/>
      </c>
      <c r="P28" s="540" t="str">
        <f>IF(OR(ISBLANK('MH02'!P41),ISERROR('MH02'!P41)),"",'MH02'!P41)</f>
        <v/>
      </c>
    </row>
    <row r="29" spans="1:16" x14ac:dyDescent="0.2">
      <c r="A29" s="6" t="str">
        <f>IF(OR(ISBLANK('MH02'!A42),ISERROR('MH02'!A42)),"",'MH02'!A42)</f>
        <v/>
      </c>
      <c r="B29" s="543" t="str">
        <f>IF(OR(ISBLANK('MH02'!B42),ISERROR('MH02'!B42)),"",'MH02'!B42)</f>
        <v/>
      </c>
      <c r="C29" s="539" t="str">
        <f>IF(OR(ISBLANK('MH02'!C42),ISERROR('MH02'!C42)),"",'MH02'!C42)</f>
        <v/>
      </c>
      <c r="D29" s="597" t="str">
        <f>IF(OR(ISBLANK('MH02'!D42),ISERROR('MH02'!D42)),"",'MH02'!D42)</f>
        <v>Precisión (%)</v>
      </c>
      <c r="E29" s="1260">
        <v>0.05</v>
      </c>
      <c r="F29" s="598" t="str">
        <f>IF(OR(ISBLANK('MH02'!F42),ISERROR('MH02'!F42)),"",'MH02'!F42)</f>
        <v>n</v>
      </c>
      <c r="G29" s="599" t="str">
        <f>IF(OR(ISBLANK('MH02'!G42),ISERROR('MH02'!G42)),"",'MH02'!G42)</f>
        <v>p</v>
      </c>
      <c r="H29" s="599" t="str">
        <f>IF(OR(ISBLANK('MH02'!H42),ISERROR('MH02'!H42)),"",'MH02'!H42)</f>
        <v>q</v>
      </c>
      <c r="I29" s="1261" t="str">
        <f>'MH02'!J42</f>
        <v/>
      </c>
      <c r="P29" s="540" t="str">
        <f>IF(OR(ISBLANK('MH02'!P42),ISERROR('MH02'!P42)),"",'MH02'!P42)</f>
        <v/>
      </c>
    </row>
    <row r="30" spans="1:16" x14ac:dyDescent="0.2">
      <c r="A30" s="6" t="str">
        <f>IF(OR(ISBLANK('MH02'!A43),ISERROR('MH02'!A43)),"",'MH02'!A43)</f>
        <v/>
      </c>
      <c r="B30" s="543" t="str">
        <f>IF(OR(ISBLANK('MH02'!B43),ISERROR('MH02'!B43)),"",'MH02'!B43)</f>
        <v/>
      </c>
      <c r="C30" s="533" t="str">
        <f>IF(OR(ISBLANK('MH02'!C43),ISERROR('MH02'!C43)),"",'MH02'!C43)</f>
        <v/>
      </c>
      <c r="D30" s="600" t="str">
        <f>IF(OR(ISBLANK('MH02'!D43),ISERROR('MH02'!D43)),"",'MH02'!D43)</f>
        <v>Sin información previa</v>
      </c>
      <c r="F30" s="601">
        <f>IF(OR(ISBLANK('MH02'!F43),ISERROR('MH02'!F43)),"",'MH02'!F43)</f>
        <v>385</v>
      </c>
      <c r="G30" s="602">
        <f>IF(OR(ISBLANK('MH02'!G43),ISERROR('MH02'!G43)),"",'MH02'!G43)</f>
        <v>0.5</v>
      </c>
      <c r="H30" s="602">
        <f>IF(OR(ISBLANK('MH02'!H43),ISERROR('MH02'!H43)),"",'MH02'!H43)</f>
        <v>0.5</v>
      </c>
      <c r="J30" s="540" t="str">
        <f>IF(OR(ISBLANK('MH02'!J43),ISERROR('MH02'!J43)),"",'MH02'!J43)</f>
        <v/>
      </c>
      <c r="K30" s="540" t="str">
        <f>IF(OR(ISBLANK('MH02'!K43),ISERROR('MH02'!K43)),"",'MH02'!K43)</f>
        <v/>
      </c>
      <c r="L30" s="540" t="str">
        <f>IF(OR(ISBLANK('MH02'!L43),ISERROR('MH02'!L43)),"",'MH02'!L43)</f>
        <v/>
      </c>
      <c r="M30" s="540" t="str">
        <f>IF(OR(ISBLANK('MH02'!M43),ISERROR('MH02'!M43)),"",'MH02'!M43)</f>
        <v/>
      </c>
      <c r="N30" s="540" t="str">
        <f>IF(OR(ISBLANK('MH02'!N43),ISERROR('MH02'!N43)),"",'MH02'!N43)</f>
        <v/>
      </c>
      <c r="O30" s="540" t="str">
        <f>IF(OR(ISBLANK('MH02'!O43),ISERROR('MH02'!O43)),"",'MH02'!O43)</f>
        <v/>
      </c>
      <c r="P30" s="540" t="str">
        <f>IF(OR(ISBLANK('MH02'!P43),ISERROR('MH02'!P43)),"",'MH02'!P43)</f>
        <v/>
      </c>
    </row>
    <row r="31" spans="1:16" x14ac:dyDescent="0.2">
      <c r="A31" s="540" t="str">
        <f>IF(OR(ISBLANK('MH02'!A44),ISERROR('MH02'!A44)),"",'MH02'!A44)</f>
        <v/>
      </c>
      <c r="B31" s="547" t="str">
        <f>IF(OR(ISBLANK('MH02'!B44),ISERROR('MH02'!B44)),"",'MH02'!B44)</f>
        <v/>
      </c>
      <c r="C31" s="539" t="str">
        <f>IF(OR(ISBLANK('MH02'!C44),ISERROR('MH02'!C44)),"",'MH02'!C44)</f>
        <v/>
      </c>
      <c r="D31" s="603" t="str">
        <f>IF(OR(ISBLANK('MH02'!D44),ISERROR('MH02'!D44)),"",'MH02'!D44)</f>
        <v>Usando la información actual*</v>
      </c>
      <c r="E31" s="597"/>
      <c r="F31" s="604">
        <f>IF(OR(ISBLANK('MH02'!F44),ISERROR('MH02'!F44)),"",'MH02'!F44)</f>
        <v>385</v>
      </c>
      <c r="G31" s="605">
        <f>IF(OR(ISBLANK('MH02'!G44),ISERROR('MH02'!G44)),"",'MH02'!G44)</f>
        <v>0.5</v>
      </c>
      <c r="H31" s="605">
        <f>IF(OR(ISBLANK('MH02'!H44),ISERROR('MH02'!H44)),"",'MH02'!H44)</f>
        <v>0.5</v>
      </c>
      <c r="J31" s="540" t="str">
        <f>IF(OR(ISBLANK('MH02'!J44),ISERROR('MH02'!J44)),"",'MH02'!J44)</f>
        <v/>
      </c>
      <c r="K31" s="540" t="str">
        <f>IF(OR(ISBLANK('MH02'!K44),ISERROR('MH02'!K44)),"",'MH02'!K44)</f>
        <v/>
      </c>
      <c r="L31" s="540" t="str">
        <f>IF(OR(ISBLANK('MH02'!L44),ISERROR('MH02'!L44)),"",'MH02'!L44)</f>
        <v/>
      </c>
      <c r="M31" s="540" t="str">
        <f>IF(OR(ISBLANK('MH02'!M44),ISERROR('MH02'!M44)),"",'MH02'!M44)</f>
        <v/>
      </c>
      <c r="N31" s="540" t="str">
        <f>IF(OR(ISBLANK('MH02'!N44),ISERROR('MH02'!N44)),"",'MH02'!N44)</f>
        <v/>
      </c>
      <c r="O31" s="540" t="str">
        <f>IF(OR(ISBLANK('MH02'!O44),ISERROR('MH02'!O44)),"",'MH02'!O44)</f>
        <v/>
      </c>
      <c r="P31" s="540" t="str">
        <f>IF(OR(ISBLANK('MH02'!P44),ISERROR('MH02'!P44)),"",'MH02'!P44)</f>
        <v/>
      </c>
    </row>
    <row r="32" spans="1:16" x14ac:dyDescent="0.2">
      <c r="A32" s="540" t="str">
        <f>IF(OR(ISBLANK('MH02'!A45),ISERROR('MH02'!A45)),"",'MH02'!A45)</f>
        <v/>
      </c>
      <c r="B32" s="547" t="str">
        <f>IF(OR(ISBLANK('MH02'!B45),ISERROR('MH02'!B45)),"",'MH02'!B45)</f>
        <v/>
      </c>
      <c r="C32" s="606" t="str">
        <f>IF(OR(ISBLANK('MH02'!C45),ISERROR('MH02'!C45)),"",'MH02'!C45)</f>
        <v/>
      </c>
      <c r="D32" s="607" t="str">
        <f>IF(OR(ISBLANK('MH02'!D45),ISERROR('MH02'!D45)),"",'MH02'!D45)</f>
        <v>* Basado en el IC de Wilson</v>
      </c>
      <c r="E32" s="541"/>
      <c r="F32" s="541" t="str">
        <f>IF(OR(ISBLANK('MH02'!F45),ISERROR('MH02'!F45)),"",'MH02'!F45)</f>
        <v/>
      </c>
      <c r="G32" s="541" t="str">
        <f>IF(OR(ISBLANK('MH02'!G45),ISERROR('MH02'!G45)),"",'MH02'!G45)</f>
        <v/>
      </c>
      <c r="H32" s="541" t="str">
        <f>IF(OR(ISBLANK('MH02'!H45),ISERROR('MH02'!H45)),"",'MH02'!H45)</f>
        <v/>
      </c>
      <c r="I32" s="540" t="str">
        <f>IF(OR(ISBLANK('MH02'!I45),ISERROR('MH02'!I45)),"",'MH02'!I45)</f>
        <v/>
      </c>
      <c r="J32" s="540" t="str">
        <f>IF(OR(ISBLANK('MH02'!J45),ISERROR('MH02'!J45)),"",'MH02'!J45)</f>
        <v/>
      </c>
      <c r="K32" s="540" t="str">
        <f>IF(OR(ISBLANK('MH02'!K45),ISERROR('MH02'!K45)),"",'MH02'!K45)</f>
        <v/>
      </c>
      <c r="L32" s="540" t="str">
        <f>IF(OR(ISBLANK('MH02'!L45),ISERROR('MH02'!L45)),"",'MH02'!L45)</f>
        <v/>
      </c>
      <c r="M32" s="540" t="str">
        <f>IF(OR(ISBLANK('MH02'!M45),ISERROR('MH02'!M45)),"",'MH02'!M45)</f>
        <v/>
      </c>
      <c r="N32" s="540" t="str">
        <f>IF(OR(ISBLANK('MH02'!N45),ISERROR('MH02'!N45)),"",'MH02'!N45)</f>
        <v/>
      </c>
      <c r="O32" s="540" t="str">
        <f>IF(OR(ISBLANK('MH02'!O45),ISERROR('MH02'!O45)),"",'MH02'!O45)</f>
        <v/>
      </c>
      <c r="P32" s="540" t="str">
        <f>IF(OR(ISBLANK('MH02'!P45),ISERROR('MH02'!P45)),"",'MH02'!P45)</f>
        <v/>
      </c>
    </row>
    <row r="33" spans="1:16" x14ac:dyDescent="0.2">
      <c r="C33" s="606"/>
      <c r="D33" s="541"/>
      <c r="E33" s="541"/>
      <c r="F33" s="541"/>
      <c r="G33" s="541"/>
      <c r="H33" s="541"/>
    </row>
    <row r="34" spans="1:16" ht="13.5" thickBot="1" x14ac:dyDescent="0.25">
      <c r="A34" s="540" t="str">
        <f>IF(OR(ISBLANK('MH02'!A47),ISERROR('MH02'!A47)),"",'MH02'!A47)</f>
        <v/>
      </c>
      <c r="B34" s="800">
        <f>IF(OR(ISBLANK('MH02'!B47),ISERROR('MH02'!B47)),"",'MH02'!B47)</f>
        <v>4</v>
      </c>
      <c r="C34" s="563" t="str">
        <f>IF(OR(ISBLANK('MH02'!C47),ISERROR('MH02'!C47)),"",'MH02'!C47)</f>
        <v>Test Ho: p=po</v>
      </c>
      <c r="D34" s="542"/>
      <c r="E34" s="608" t="str">
        <f>IF(OR(ISBLANK('MH02'!E47),ISERROR('MH02'!E47)),"",'MH02'!E47)</f>
        <v/>
      </c>
      <c r="F34" s="542"/>
      <c r="G34" s="542"/>
      <c r="H34" s="542"/>
      <c r="I34" s="542"/>
      <c r="J34" s="542" t="str">
        <f>IF(OR(ISBLANK('MH02'!J47),ISERROR('MH02'!J47)),"",'MH02'!J47)</f>
        <v/>
      </c>
      <c r="K34" s="542" t="str">
        <f>IF(OR(ISBLANK('MH02'!K47),ISERROR('MH02'!K47)),"",'MH02'!K47)</f>
        <v/>
      </c>
      <c r="L34" s="542" t="str">
        <f>IF(OR(ISBLANK('MH02'!L47),ISERROR('MH02'!L47)),"",'MH02'!L47)</f>
        <v/>
      </c>
      <c r="M34" s="540" t="str">
        <f>IF(OR(ISBLANK('MH02'!M47),ISERROR('MH02'!M47)),"",'MH02'!M47)</f>
        <v/>
      </c>
      <c r="N34" s="540" t="str">
        <f>IF(OR(ISBLANK('MH02'!N47),ISERROR('MH02'!N47)),"",'MH02'!N47)</f>
        <v/>
      </c>
      <c r="O34" s="540" t="str">
        <f>IF(OR(ISBLANK('MH02'!O47),ISERROR('MH02'!O47)),"",'MH02'!O47)</f>
        <v/>
      </c>
      <c r="P34" s="540" t="str">
        <f>IF(OR(ISBLANK('MH02'!P47),ISERROR('MH02'!P47)),"",'MH02'!P47)</f>
        <v/>
      </c>
    </row>
    <row r="35" spans="1:16" ht="9.75" customHeight="1" x14ac:dyDescent="0.2">
      <c r="A35" s="540" t="str">
        <f>IF(OR(ISBLANK('MH02'!A49),ISERROR('MH02'!A49)),"",'MH02'!A49)</f>
        <v/>
      </c>
      <c r="B35" s="547" t="str">
        <f>IF(OR(ISBLANK('MH02'!B49),ISERROR('MH02'!B49)),"",'MH02'!B49)</f>
        <v/>
      </c>
      <c r="H35" s="541" t="str">
        <f>IF(OR(ISBLANK('MH02'!H49),ISERROR('MH02'!H49)),"",'MH02'!H49)</f>
        <v/>
      </c>
      <c r="I35" s="541" t="str">
        <f>IF(OR(ISBLANK('MH02'!I49),ISERROR('MH02'!I49)),"",'MH02'!I49)</f>
        <v/>
      </c>
      <c r="J35" s="541" t="str">
        <f>IF(OR(ISBLANK('MH02'!J49),ISERROR('MH02'!J49)),"",'MH02'!J49)</f>
        <v/>
      </c>
      <c r="K35" s="541" t="str">
        <f>IF(OR(ISBLANK('MH02'!K49),ISERROR('MH02'!K49)),"",'MH02'!K49)</f>
        <v/>
      </c>
      <c r="L35" s="541" t="str">
        <f>IF(OR(ISBLANK('MH02'!L49),ISERROR('MH02'!L49)),"",'MH02'!L49)</f>
        <v/>
      </c>
      <c r="M35" s="540" t="str">
        <f>IF(OR(ISBLANK('MH02'!M49),ISERROR('MH02'!M49)),"",'MH02'!M49)</f>
        <v/>
      </c>
      <c r="N35" s="540" t="str">
        <f>IF(OR(ISBLANK('MH02'!N49),ISERROR('MH02'!N49)),"",'MH02'!N49)</f>
        <v/>
      </c>
      <c r="O35" s="540" t="str">
        <f>IF(OR(ISBLANK('MH02'!O49),ISERROR('MH02'!O49)),"",'MH02'!O49)</f>
        <v/>
      </c>
      <c r="P35" s="540" t="str">
        <f>IF(OR(ISBLANK('MH02'!P49),ISERROR('MH02'!P49)),"",'MH02'!P49)</f>
        <v/>
      </c>
    </row>
    <row r="36" spans="1:16" x14ac:dyDescent="0.2">
      <c r="A36" s="540" t="str">
        <f>IF(OR(ISBLANK('MH02'!A54),ISERROR('MH02'!A54)),"",'MH02'!A54)</f>
        <v/>
      </c>
      <c r="B36" s="547" t="str">
        <f>IF(OR(ISBLANK('MH02'!B50),ISERROR('MH02'!B50)),"",'MH02'!B50)</f>
        <v/>
      </c>
      <c r="C36" s="800" t="str">
        <f>IF(OR(ISBLANK('MH02'!C48),ISERROR('MH02'!C48)),"",'MH02'!C48)</f>
        <v>4a</v>
      </c>
      <c r="D36" s="583" t="str">
        <f>IF(OR(ISBLANK('MH02'!D48),ISERROR('MH02'!D48)),"",'MH02'!D48)</f>
        <v>Test</v>
      </c>
      <c r="E36" s="597" t="str">
        <f>IF(OR(ISBLANK('MH02'!E48),ISERROR('MH02'!E48)),"",'MH02'!E48)</f>
        <v/>
      </c>
      <c r="F36" s="597" t="str">
        <f>IF(OR(ISBLANK('MH02'!F48),ISERROR('MH02'!F48)),"",'MH02'!F48)</f>
        <v/>
      </c>
      <c r="G36" s="597"/>
      <c r="H36" s="541"/>
      <c r="I36" s="541"/>
      <c r="J36" s="541"/>
      <c r="K36" s="541"/>
      <c r="L36" s="541"/>
      <c r="M36" s="540" t="str">
        <f>IF(OR(ISBLANK('MH02'!M54),ISERROR('MH02'!M54)),"",'MH02'!M54)</f>
        <v/>
      </c>
      <c r="N36" s="540" t="str">
        <f>IF(OR(ISBLANK('MH02'!N54),ISERROR('MH02'!N54)),"",'MH02'!N54)</f>
        <v/>
      </c>
      <c r="O36" s="540" t="str">
        <f>IF(OR(ISBLANK('MH02'!O54),ISERROR('MH02'!O54)),"",'MH02'!O54)</f>
        <v/>
      </c>
      <c r="P36" s="540" t="str">
        <f>IF(OR(ISBLANK('MH02'!P54),ISERROR('MH02'!P54)),"",'MH02'!P54)</f>
        <v/>
      </c>
    </row>
    <row r="37" spans="1:16" x14ac:dyDescent="0.2">
      <c r="B37" s="547" t="str">
        <f>IF(OR(ISBLANK('MH02'!B52),ISERROR('MH02'!B52)),"",'MH02'!B52)</f>
        <v/>
      </c>
      <c r="C37" s="539" t="str">
        <f>IF(OR(ISBLANK('MH02'!C50),ISERROR('MH02'!C50)),"",'MH02'!C50)</f>
        <v/>
      </c>
      <c r="D37" s="540" t="s">
        <v>236</v>
      </c>
      <c r="E37" s="1265">
        <v>0.1</v>
      </c>
      <c r="F37" s="554" t="str">
        <f>IF(OR(ISBLANK('MH02'!F50),ISERROR('MH02'!F50)),"",'MH02'!F50)</f>
        <v/>
      </c>
      <c r="H37" s="541"/>
      <c r="I37" s="541"/>
      <c r="J37" s="541"/>
      <c r="K37" s="541"/>
      <c r="L37" s="541"/>
    </row>
    <row r="38" spans="1:16" x14ac:dyDescent="0.2">
      <c r="B38" s="547" t="str">
        <f>IF(OR(ISBLANK('MH02'!B53),ISERROR('MH02'!B53)),"",'MH02'!B53)</f>
        <v/>
      </c>
      <c r="C38" s="539" t="str">
        <f>IF(OR(ISBLANK('MH02'!C51),ISERROR('MH02'!C51)),"",'MH02'!C51)</f>
        <v/>
      </c>
      <c r="D38" s="540" t="str">
        <f>IF(OR(ISBLANK('MH02'!D51),ISERROR('MH02'!D51)),"",'MH02'!D51)</f>
        <v>Colas</v>
      </c>
      <c r="E38" s="609">
        <v>2</v>
      </c>
      <c r="F38" s="610" t="str">
        <f>IF(OR(ISBLANK('MH02'!F51),ISERROR('MH02'!F51)),"",'MH02'!F51)</f>
        <v/>
      </c>
      <c r="G38" s="610"/>
      <c r="H38" s="541" t="str">
        <f>IF(OR(ISBLANK('MH02'!H53),ISERROR('MH02'!H53)),"",'MH02'!H53)</f>
        <v/>
      </c>
      <c r="I38" s="541" t="str">
        <f>IF(OR(ISBLANK('MH02'!I53),ISERROR('MH02'!I53)),"",'MH02'!I53)</f>
        <v/>
      </c>
      <c r="J38" s="541"/>
      <c r="K38" s="541"/>
      <c r="L38" s="541"/>
    </row>
    <row r="39" spans="1:16" x14ac:dyDescent="0.2">
      <c r="C39" s="606" t="str">
        <f>IF(OR(ISBLANK('MH02'!C52),ISERROR('MH02'!C52)),"",'MH02'!C52)</f>
        <v/>
      </c>
      <c r="D39" s="541" t="str">
        <f>IF(OR(ISBLANK('MH02'!D52),ISERROR('MH02'!D52)),"",'MH02'!D52)</f>
        <v>Zexp</v>
      </c>
      <c r="E39" s="550">
        <f>IF(OR(ISBLANK('MH02'!E52),ISERROR('MH02'!E52)),"",'MH02'!E52)</f>
        <v>17.416829780300418</v>
      </c>
      <c r="F39" s="545" t="str">
        <f>IF(OR(ISBLANK('MH02'!F52),ISERROR('MH02'!F52)),"",'MH02'!F52)</f>
        <v/>
      </c>
      <c r="G39" s="545" t="str">
        <f>IF(OR(ISBLANK('MH02'!G52),ISERROR('MH02'!G52)),"",'MH02'!G52)</f>
        <v/>
      </c>
      <c r="H39" s="541"/>
      <c r="I39" s="541"/>
      <c r="J39" s="541"/>
      <c r="K39" s="541"/>
      <c r="L39" s="541"/>
    </row>
    <row r="40" spans="1:16" x14ac:dyDescent="0.2">
      <c r="C40" s="606" t="str">
        <f>IF(OR(ISBLANK('MH02'!C53),ISERROR('MH02'!C53)),"",'MH02'!C53)</f>
        <v/>
      </c>
      <c r="D40" s="597" t="str">
        <f>IF(OR(ISBLANK('MH02'!D53),ISERROR('MH02'!D53)),"",'MH02'!D53)</f>
        <v>Significación</v>
      </c>
      <c r="E40" s="611">
        <f>IF(OR(ISBLANK('MH02'!E53),ISERROR('MH02'!E53)),"",'MH02'!E53)</f>
        <v>0</v>
      </c>
      <c r="F40" s="612"/>
      <c r="G40" s="611" t="str">
        <f>IF(OR(ISBLANK('MH02'!G53),ISERROR('MH02'!G53)),"",'MH02'!G53)</f>
        <v/>
      </c>
      <c r="H40" s="541"/>
      <c r="I40" s="541"/>
      <c r="J40" s="541"/>
      <c r="K40" s="541"/>
      <c r="L40" s="541"/>
    </row>
    <row r="41" spans="1:16" x14ac:dyDescent="0.2">
      <c r="C41" s="606"/>
      <c r="D41" s="606"/>
      <c r="E41" s="606"/>
      <c r="F41" s="606"/>
      <c r="G41" s="606"/>
      <c r="H41" s="541"/>
      <c r="I41" s="541"/>
      <c r="J41" s="541"/>
      <c r="K41" s="541"/>
      <c r="L41" s="541"/>
    </row>
    <row r="42" spans="1:16" x14ac:dyDescent="0.2">
      <c r="C42" s="800" t="str">
        <f>IF(OR(ISBLANK('MH02'!C55),ISERROR('MH02'!C55)),"",'MH02'!C55)</f>
        <v>4b</v>
      </c>
      <c r="D42" s="533" t="str">
        <f>IF(OR(ISBLANK('MH02'!D55),ISERROR('MH02'!D55)),"",'MH02'!D55)</f>
        <v>Tamaño de muestra</v>
      </c>
      <c r="E42" s="533"/>
      <c r="F42" s="533" t="str">
        <f>IF(OR(ISBLANK('MH02'!F55),ISERROR('MH02'!F55)),"",'MH02'!F55)</f>
        <v/>
      </c>
      <c r="G42" s="533" t="str">
        <f>IF(OR(ISBLANK('MH02'!G55),ISERROR('MH02'!G55)),"",'MH02'!G55)</f>
        <v/>
      </c>
      <c r="H42" s="533" t="str">
        <f>IF(OR(ISBLANK('MH02'!H55),ISERROR('MH02'!H55)),"",'MH02'!H55)</f>
        <v/>
      </c>
      <c r="I42" s="541"/>
      <c r="J42" s="541"/>
      <c r="K42" s="541"/>
      <c r="L42" s="541"/>
    </row>
    <row r="43" spans="1:16" x14ac:dyDescent="0.2">
      <c r="C43" s="538" t="str">
        <f>IF(OR(ISBLANK('MH02'!C56),ISERROR('MH02'!C56)),"",'MH02'!C56)</f>
        <v/>
      </c>
      <c r="D43" s="536" t="str">
        <f>IF(OR(ISBLANK('MH02'!D56),ISERROR('MH02'!D56)),"",'MH02'!D56)</f>
        <v>d</v>
      </c>
      <c r="E43" s="1262">
        <v>0.04</v>
      </c>
      <c r="F43" s="536" t="str">
        <f>IF(OR(ISBLANK('MH02'!F56),ISERROR('MH02'!F56)),"",'MH02'!F56)</f>
        <v>(=Diferencia a detectar)</v>
      </c>
      <c r="G43" s="533"/>
      <c r="H43" s="533" t="str">
        <f>IF(OR(ISBLANK('MH02'!#REF!),ISERROR('MH02'!#REF!)),"",'MH02'!#REF!)</f>
        <v/>
      </c>
      <c r="I43" s="541"/>
      <c r="J43" s="541"/>
      <c r="K43" s="541"/>
      <c r="L43" s="541"/>
    </row>
    <row r="44" spans="1:16" x14ac:dyDescent="0.2">
      <c r="C44" s="538" t="str">
        <f>IF(OR(ISBLANK('MH02'!C57),ISERROR('MH02'!C57)),"",'MH02'!C57)</f>
        <v/>
      </c>
      <c r="D44" s="536" t="str">
        <f>IF(OR(ISBLANK('MH02'!D57),ISERROR('MH02'!D57)),"",'MH02'!D57)</f>
        <v>Potencia</v>
      </c>
      <c r="E44" s="1262">
        <v>0.9</v>
      </c>
      <c r="F44" s="533"/>
      <c r="G44" s="533" t="str">
        <f>IF(OR(ISBLANK('MH02'!G57),ISERROR('MH02'!G57)),"",'MH02'!G57)</f>
        <v/>
      </c>
      <c r="H44" s="533"/>
      <c r="I44" s="541"/>
      <c r="J44" s="541"/>
      <c r="K44" s="541"/>
      <c r="L44" s="541"/>
    </row>
    <row r="45" spans="1:16" x14ac:dyDescent="0.2">
      <c r="C45" s="538" t="str">
        <f>IF(OR(ISBLANK('MH02'!C58),ISERROR('MH02'!C58)),"",'MH02'!C58)</f>
        <v/>
      </c>
      <c r="D45" s="1263" t="str">
        <f>IF(OR(ISBLANK('MH02'!D58),ISERROR('MH02'!D58)),"",'MH02'!D58)</f>
        <v>Za/2</v>
      </c>
      <c r="E45" s="1264">
        <f>IF(OR(ISBLANK('MH02'!E58),ISERROR('MH02'!E58)),"",'MH02'!E58)</f>
        <v>1.9599639845400536</v>
      </c>
      <c r="F45" s="614" t="str">
        <f>IF(OR(ISBLANK('MH02'!F58),ISERROR('MH02'!F58)),"",'MH02'!F58)</f>
        <v/>
      </c>
      <c r="G45" s="533" t="str">
        <f>IF(OR(ISBLANK('MH02'!G58),ISERROR('MH02'!G58)),"",'MH02'!G58)</f>
        <v/>
      </c>
      <c r="H45" s="533" t="str">
        <f>IF(OR(ISBLANK('MH02'!H58),ISERROR('MH02'!H58)),"",'MH02'!H58)</f>
        <v/>
      </c>
      <c r="I45" s="541"/>
      <c r="J45" s="541"/>
      <c r="K45" s="541"/>
      <c r="L45" s="541"/>
    </row>
    <row r="46" spans="1:16" x14ac:dyDescent="0.2">
      <c r="C46" s="538" t="str">
        <f>IF(OR(ISBLANK('MH02'!C59),ISERROR('MH02'!C59)),"",'MH02'!C59)</f>
        <v/>
      </c>
      <c r="D46" s="1263" t="str">
        <f>IF(OR(ISBLANK('MH02'!D59),ISERROR('MH02'!D59)),"",'MH02'!D59)</f>
        <v>Zb</v>
      </c>
      <c r="E46" s="1264">
        <f>IF(OR(ISBLANK('MH02'!E59),ISERROR('MH02'!E59)),"",'MH02'!E59)</f>
        <v>1.2815515655446006</v>
      </c>
      <c r="F46" s="614" t="str">
        <f>IF(OR(ISBLANK('MH02'!F59),ISERROR('MH02'!F59)),"",'MH02'!F59)</f>
        <v/>
      </c>
      <c r="G46" s="538" t="str">
        <f>IF(OR(ISBLANK('MH02'!G59),ISERROR('MH02'!G59)),"",'MH02'!G59)</f>
        <v/>
      </c>
      <c r="H46" s="541"/>
      <c r="I46" s="541"/>
      <c r="J46" s="541"/>
      <c r="K46" s="541"/>
      <c r="L46" s="541"/>
    </row>
    <row r="47" spans="1:16" x14ac:dyDescent="0.2">
      <c r="C47" s="538" t="str">
        <f>IF(OR(ISBLANK('MH02'!C60),ISERROR('MH02'!C60)),"",'MH02'!C60)</f>
        <v/>
      </c>
      <c r="D47" s="536" t="str">
        <f>IF(OR(ISBLANK('MH02'!D60),ISERROR('MH02'!D60)),"",'MH02'!D60)</f>
        <v>p1</v>
      </c>
      <c r="E47" s="613">
        <f>IF(OR(ISBLANK('MH02'!E60),ISERROR('MH02'!E60)),"",'MH02'!E60)</f>
        <v>0.14000000000000001</v>
      </c>
      <c r="F47" s="536" t="str">
        <f>IF(OR(ISBLANK('MH02'!F60),ISERROR('MH02'!F60)),"",'MH02'!F60)</f>
        <v>2 colas</v>
      </c>
      <c r="G47" s="538" t="str">
        <f>IF(OR(ISBLANK('MH02'!G60),ISERROR('MH02'!G60)),"",'MH02'!G60)</f>
        <v/>
      </c>
      <c r="H47" s="541"/>
      <c r="I47" s="541"/>
      <c r="J47" s="541"/>
      <c r="K47" s="541"/>
      <c r="L47" s="541"/>
    </row>
    <row r="48" spans="1:16" x14ac:dyDescent="0.2">
      <c r="C48" s="538" t="str">
        <f>IF(OR(ISBLANK('MH02'!C61),ISERROR('MH02'!C61)),"",'MH02'!C61)</f>
        <v/>
      </c>
      <c r="D48" s="536" t="str">
        <f>IF(OR(ISBLANK('MH02'!D61),ISERROR('MH02'!D61)),"",'MH02'!D61)</f>
        <v>n</v>
      </c>
      <c r="E48" s="615">
        <f>IF(OR(ISBLANK('MH02'!E61),ISERROR('MH02'!E61)),"",'MH02'!E61)</f>
        <v>667</v>
      </c>
      <c r="F48" s="614" t="str">
        <f>IF(OR(ISBLANK('MH02'!#REF!),ISERROR('MH02'!#REF!)),"",'MH02'!#REF!)</f>
        <v/>
      </c>
      <c r="G48" s="538" t="str">
        <f>IF(OR(ISBLANK('MH02'!G61),ISERROR('MH02'!G61)),"",'MH02'!G61)</f>
        <v/>
      </c>
      <c r="H48" s="541"/>
      <c r="I48" s="541"/>
      <c r="J48" s="541"/>
      <c r="K48" s="541"/>
      <c r="L48" s="541"/>
    </row>
    <row r="49" spans="2:12" ht="13.5" thickBot="1" x14ac:dyDescent="0.25">
      <c r="C49" s="616" t="str">
        <f>IF(OR(ISBLANK('MH02'!C62),ISERROR('MH02'!C62)),"",'MH02'!C62)</f>
        <v/>
      </c>
      <c r="D49" s="616" t="str">
        <f>IF(OR(ISBLANK('MH02'!D62),ISERROR('MH02'!D62)),"",'MH02'!D62)</f>
        <v/>
      </c>
      <c r="E49" s="616" t="str">
        <f>IF(OR(ISBLANK('MH02'!E62),ISERROR('MH02'!E62)),"",'MH02'!E62)</f>
        <v/>
      </c>
      <c r="F49" s="616" t="str">
        <f>IF(OR(ISBLANK('MH02'!F62),ISERROR('MH02'!F62)),"",'MH02'!F62)</f>
        <v/>
      </c>
      <c r="G49" s="616" t="str">
        <f>IF(OR(ISBLANK('MH02'!G62),ISERROR('MH02'!G62)),"",'MH02'!G62)</f>
        <v/>
      </c>
      <c r="H49" s="542"/>
      <c r="I49" s="542"/>
      <c r="J49" s="542"/>
      <c r="K49" s="542"/>
      <c r="L49" s="541"/>
    </row>
    <row r="50" spans="2:12" x14ac:dyDescent="0.2">
      <c r="C50" s="606"/>
      <c r="D50" s="541"/>
      <c r="E50" s="549"/>
      <c r="F50" s="617"/>
      <c r="G50" s="549"/>
      <c r="H50" s="541"/>
      <c r="I50" s="541"/>
      <c r="J50" s="541"/>
      <c r="K50" s="541"/>
      <c r="L50" s="541"/>
    </row>
    <row r="51" spans="2:12" x14ac:dyDescent="0.2">
      <c r="C51" s="606"/>
      <c r="D51" s="541"/>
      <c r="E51" s="549"/>
      <c r="F51" s="617"/>
      <c r="G51" s="549"/>
      <c r="H51" s="541"/>
      <c r="I51" s="541"/>
      <c r="J51" s="541"/>
      <c r="K51" s="541"/>
      <c r="L51" s="541"/>
    </row>
    <row r="52" spans="2:12" x14ac:dyDescent="0.2">
      <c r="B52" s="547" t="str">
        <f>IF(OR(ISBLANK('MH02'!B54),ISERROR('MH02'!B54)),"",'MH02'!B54)</f>
        <v/>
      </c>
      <c r="C52" s="606" t="str">
        <f>IF(OR(ISBLANK('MH02'!C54),ISERROR('MH02'!C54)),"",'MH02'!C54)</f>
        <v/>
      </c>
      <c r="D52" s="618" t="str">
        <f>IF(OR(ISBLANK('MH02'!D54),ISERROR('MH02'!D54)),"",'MH02'!D54)</f>
        <v/>
      </c>
      <c r="E52" s="541" t="str">
        <f>IF(OR(ISBLANK('MH02'!E54),ISERROR('MH02'!E54)),"",'MH02'!E54)</f>
        <v/>
      </c>
      <c r="F52" s="541" t="str">
        <f>IF(OR(ISBLANK('MH02'!F54),ISERROR('MH02'!F54)),"",'MH02'!F54)</f>
        <v/>
      </c>
      <c r="G52" s="541" t="str">
        <f>IF(OR(ISBLANK('MH02'!G54),ISERROR('MH02'!G54)),"",'MH02'!G54)</f>
        <v/>
      </c>
      <c r="H52" s="541" t="str">
        <f>IF(OR(ISBLANK('MH02'!H54),ISERROR('MH02'!H54)),"",'MH02'!H54)</f>
        <v/>
      </c>
      <c r="I52" s="541" t="str">
        <f>IF(OR(ISBLANK('MH02'!I54),ISERROR('MH02'!I54)),"",'MH02'!I54)</f>
        <v/>
      </c>
      <c r="J52" s="541"/>
      <c r="K52" s="541"/>
      <c r="L52" s="541"/>
    </row>
  </sheetData>
  <sheetProtection algorithmName="SHA-512" hashValue="VuQGsaZU8fvBWRbf4jTSkPsDDmiT1xJ0YIVo7V961DB0qiHkHbe/Ti66mnsnR/DB6ShKHEj61ms6J1qvT+AMxA==" saltValue="Pe4ISQFVeSipvGQ0swFI0Q==" spinCount="100000" sheet="1" objects="1" scenarios="1" formatCells="0" formatColumns="0"/>
  <mergeCells count="6">
    <mergeCell ref="A2:D2"/>
    <mergeCell ref="H15:M16"/>
    <mergeCell ref="I19:K19"/>
    <mergeCell ref="J9:K9"/>
    <mergeCell ref="H8:L8"/>
    <mergeCell ref="H11:H12"/>
  </mergeCells>
  <conditionalFormatting sqref="E6">
    <cfRule type="cellIs" dxfId="21" priority="3" stopIfTrue="1" operator="lessThan">
      <formula>$E$7</formula>
    </cfRule>
  </conditionalFormatting>
  <conditionalFormatting sqref="E7">
    <cfRule type="cellIs" dxfId="20" priority="4" stopIfTrue="1" operator="greaterThanOrEqual">
      <formula>$E$6</formula>
    </cfRule>
  </conditionalFormatting>
  <hyperlinks>
    <hyperlink ref="A2" location="Presentación!A1" display="&lt; Volver a presentación"/>
    <hyperlink ref="I6" location="'Test X2'!A1" display="test x2"/>
    <hyperlink ref="A2:D2" location="INICIO!A1" display="&lt; INICIO"/>
  </hyperlink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GridLines="0" zoomScale="86" zoomScaleNormal="86" workbookViewId="0">
      <pane ySplit="1" topLeftCell="A2" activePane="bottomLeft" state="frozenSplit"/>
      <selection activeCell="B4" sqref="B4:E4"/>
      <selection pane="bottomLeft" activeCell="D40" sqref="D40"/>
    </sheetView>
  </sheetViews>
  <sheetFormatPr baseColWidth="10" defaultRowHeight="12.75" x14ac:dyDescent="0.2"/>
  <cols>
    <col min="1" max="1" width="1.7109375" customWidth="1"/>
    <col min="2" max="2" width="2.85546875" style="924" customWidth="1"/>
    <col min="3" max="3" width="12.42578125" customWidth="1"/>
    <col min="4" max="4" width="14.85546875" customWidth="1"/>
    <col min="5" max="5" width="13.85546875" customWidth="1"/>
    <col min="6" max="6" width="12.140625" customWidth="1"/>
    <col min="7" max="7" width="8.7109375" customWidth="1"/>
    <col min="8" max="8" width="7.42578125" customWidth="1"/>
    <col min="9" max="9" width="9.5703125" customWidth="1"/>
    <col min="10" max="10" width="8.5703125" customWidth="1"/>
    <col min="11" max="11" width="10" customWidth="1"/>
    <col min="12" max="12" width="4" customWidth="1"/>
  </cols>
  <sheetData>
    <row r="1" spans="1:21" s="890" customFormat="1" ht="21.75" customHeight="1" thickBot="1" x14ac:dyDescent="0.25">
      <c r="B1" s="891" t="str">
        <f>INICIO!E1&amp; "   /  Test de McNemar para dos muestras relacionadas"</f>
        <v>T2x2   /  Test de McNemar para dos muestras relacionadas</v>
      </c>
      <c r="C1" s="892"/>
      <c r="D1" s="893"/>
      <c r="E1" s="894"/>
      <c r="F1" s="894"/>
      <c r="I1" s="895"/>
      <c r="J1" s="896"/>
      <c r="K1" s="897"/>
      <c r="L1" s="898"/>
      <c r="M1" s="897" t="str">
        <f>IF(OR(ISBLANK('MH01'!O1),ISERROR('MH01'!O1)),"",'MH01'!O1)</f>
        <v/>
      </c>
      <c r="N1" s="897" t="str">
        <f>IF(OR(ISBLANK('MH01'!P1),ISERROR('MH01'!P1)),"",'MH01'!P1)</f>
        <v/>
      </c>
    </row>
    <row r="2" spans="1:21" s="196" customFormat="1" ht="15.75" x14ac:dyDescent="0.25">
      <c r="A2" s="1332" t="s">
        <v>422</v>
      </c>
      <c r="B2" s="1332"/>
      <c r="C2" s="1332"/>
      <c r="D2" s="197"/>
      <c r="E2" s="198"/>
      <c r="F2" s="198"/>
      <c r="I2" s="1016"/>
      <c r="J2" s="202"/>
      <c r="K2" s="203"/>
      <c r="L2" s="1011"/>
      <c r="M2" s="203"/>
      <c r="U2" s="923"/>
    </row>
    <row r="3" spans="1:21" s="198" customFormat="1" ht="12.75" customHeight="1" x14ac:dyDescent="0.25">
      <c r="A3" s="1014"/>
      <c r="B3" s="1015"/>
      <c r="C3" s="1014"/>
      <c r="D3" s="1014"/>
      <c r="E3" s="1014"/>
      <c r="F3" s="1014"/>
      <c r="G3" s="1014"/>
      <c r="I3" s="1012"/>
      <c r="J3" s="1013"/>
      <c r="K3" s="1012"/>
      <c r="L3" s="1011"/>
      <c r="M3" s="202"/>
    </row>
    <row r="4" spans="1:21" s="8" customFormat="1" ht="12.75" customHeight="1" x14ac:dyDescent="0.2">
      <c r="A4" s="8" t="str">
        <f>IF(OR(ISBLANK('MH01 (2)'!A6),ISERROR('MH01 (2)'!A6)),"",'MH01 (2)'!A6)</f>
        <v/>
      </c>
      <c r="B4" s="1010" t="str">
        <f>IF(OR(ISBLANK('MH01 (2)'!B6),ISERROR('MH01 (2)'!B6)),"",'MH01 (2)'!B6)</f>
        <v/>
      </c>
      <c r="C4" s="7" t="str">
        <f>IF(OR(ISBLANK('MH01 (2)'!C6),ISERROR('MH01 (2)'!C6)),"",'MH01 (2)'!C6)</f>
        <v/>
      </c>
      <c r="D4" s="8" t="str">
        <f>IF(OR(ISBLANK('MH01 (2)'!D6),ISERROR('MH01 (2)'!D6)),"",'MH01 (2)'!D6)</f>
        <v/>
      </c>
      <c r="E4" s="8" t="str">
        <f>IF(OR(ISBLANK('MH01 (2)'!E6),ISERROR('MH01 (2)'!E6)),"",'MH01 (2)'!E6)</f>
        <v/>
      </c>
      <c r="F4" s="8" t="str">
        <f>IF(OR(ISBLANK('MH01 (2)'!F6),ISERROR('MH01 (2)'!F6)),"",'MH01 (2)'!F6)</f>
        <v/>
      </c>
      <c r="G4" s="8" t="str">
        <f>IF(OR(ISBLANK('MH01 (2)'!G6),ISERROR('MH01 (2)'!G6)),"",'MH01 (2)'!G6)</f>
        <v/>
      </c>
      <c r="H4" s="7" t="str">
        <f>IF(OR(ISBLANK('MH01 (2)'!H6),ISERROR('MH01 (2)'!H6)),"",'MH01 (2)'!H6)</f>
        <v/>
      </c>
      <c r="I4" s="7" t="str">
        <f>IF(OR(ISBLANK('MH01 (2)'!I6),ISERROR('MH01 (2)'!I6)),"",'MH01 (2)'!I6)</f>
        <v/>
      </c>
      <c r="J4" s="9" t="str">
        <f>IF(OR(ISBLANK('MH01 (2)'!J6),ISERROR('MH01 (2)'!J6)),"",'MH01 (2)'!J6)</f>
        <v/>
      </c>
      <c r="K4" s="10" t="str">
        <f>IF(OR(ISBLANK('MH01 (2)'!K6),ISERROR('MH01 (2)'!K6)),"",'MH01 (2)'!K6)</f>
        <v/>
      </c>
      <c r="L4" s="7" t="str">
        <f>IF(OR(ISBLANK('MH01 (2)'!L6),ISERROR('MH01 (2)'!L6)),"",'MH01 (2)'!L6)</f>
        <v/>
      </c>
      <c r="M4" s="7"/>
      <c r="N4" s="7"/>
      <c r="O4" s="7"/>
      <c r="P4" s="7"/>
    </row>
    <row r="5" spans="1:21" s="6" customFormat="1" ht="12.75" customHeight="1" x14ac:dyDescent="0.2">
      <c r="A5" s="6" t="str">
        <f>IF(OR(ISBLANK('MH01 (2)'!A7),ISERROR('MH01 (2)'!A7)),"",'MH01 (2)'!A7)</f>
        <v/>
      </c>
      <c r="B5" s="792">
        <f>IF(OR(ISBLANK('MH01 (2)'!B7),ISERROR('MH01 (2)'!B7)),"",'MH01 (2)'!B7)</f>
        <v>1</v>
      </c>
      <c r="C5" s="11" t="str">
        <f>IF(OR(ISBLANK('MH01 (2)'!C7),ISERROR('MH01 (2)'!C7)),"",'MH01 (2)'!C7)</f>
        <v>Problema:</v>
      </c>
      <c r="D5" s="1331" t="s">
        <v>431</v>
      </c>
      <c r="E5" s="1331" t="s">
        <v>61</v>
      </c>
      <c r="F5" s="1331" t="s">
        <v>61</v>
      </c>
      <c r="G5" s="1008" t="str">
        <f>IF(OR(ISBLANK('MH01 (2)'!G7),ISERROR('MH01 (2)'!G7)),"",'MH01 (2)'!G7)</f>
        <v/>
      </c>
      <c r="H5" s="7" t="str">
        <f>IF(OR(ISBLANK('MH01 (2)'!H7),ISERROR('MH01 (2)'!H7)),"",'MH01 (2)'!H7)</f>
        <v/>
      </c>
      <c r="I5" s="7" t="str">
        <f>IF(OR(ISBLANK('MH01 (2)'!I7),ISERROR('MH01 (2)'!I7)),"",'MH01 (2)'!I7)</f>
        <v/>
      </c>
      <c r="J5" s="7" t="str">
        <f>IF(OR(ISBLANK('MH01 (2)'!J7),ISERROR('MH01 (2)'!J7)),"",'MH01 (2)'!J7)</f>
        <v/>
      </c>
      <c r="K5" s="7" t="str">
        <f>IF(OR(ISBLANK('MH01 (2)'!K7),ISERROR('MH01 (2)'!K7)),"",'MH01 (2)'!K7)</f>
        <v/>
      </c>
      <c r="L5" s="7" t="str">
        <f>IF(OR(ISBLANK('MH01 (2)'!L7),ISERROR('MH01 (2)'!L7)),"",'MH01 (2)'!L7)</f>
        <v/>
      </c>
      <c r="M5" s="7"/>
      <c r="N5" s="7"/>
      <c r="O5" s="7"/>
      <c r="P5" s="7"/>
    </row>
    <row r="6" spans="1:21" s="6" customFormat="1" ht="12.75" customHeight="1" x14ac:dyDescent="0.2">
      <c r="A6" s="6" t="str">
        <f>IF(OR(ISBLANK('MH01 (2)'!A8),ISERROR('MH01 (2)'!A8)),"",'MH01 (2)'!A8)</f>
        <v/>
      </c>
      <c r="B6" s="594" t="str">
        <f>IF(OR(ISBLANK('MH01 (2)'!B8),ISERROR('MH01 (2)'!B8)),"",'MH01 (2)'!B8)</f>
        <v/>
      </c>
      <c r="C6" s="13" t="str">
        <f>IF(OR(ISBLANK('MH01 (2)'!C8),ISERROR('MH01 (2)'!C8)),"",'MH01 (2)'!C8)</f>
        <v>Condicion 1</v>
      </c>
      <c r="D6" s="1287" t="s">
        <v>430</v>
      </c>
      <c r="E6" s="1287" t="s">
        <v>61</v>
      </c>
      <c r="F6" s="1287" t="s">
        <v>61</v>
      </c>
      <c r="G6" s="1007" t="str">
        <f>IF(OR(ISBLANK('MH01 (2)'!G8),ISERROR('MH01 (2)'!G8)),"",'MH01 (2)'!G8)</f>
        <v/>
      </c>
      <c r="H6" s="15" t="str">
        <f>IF(OR(ISBLANK('MH01 (2)'!H8),ISERROR('MH01 (2)'!H8)),"",'MH01 (2)'!H8)</f>
        <v/>
      </c>
      <c r="I6" s="16" t="str">
        <f>IF(OR(ISBLANK('MH01 (2)'!I8),ISERROR('MH01 (2)'!I8)),"",'MH01 (2)'!I8)</f>
        <v/>
      </c>
      <c r="J6" s="16" t="str">
        <f>IF(OR(ISBLANK('MH01 (2)'!J8),ISERROR('MH01 (2)'!J8)),"",'MH01 (2)'!J8)</f>
        <v/>
      </c>
      <c r="K6" s="6" t="str">
        <f>IF(OR(ISBLANK('MH01 (2)'!K8),ISERROR('MH01 (2)'!K8)),"",'MH01 (2)'!K8)</f>
        <v/>
      </c>
      <c r="L6" s="6" t="str">
        <f>IF(OR(ISBLANK('MH01 (2)'!L8),ISERROR('MH01 (2)'!L8)),"",'MH01 (2)'!L8)</f>
        <v/>
      </c>
    </row>
    <row r="7" spans="1:21" s="6" customFormat="1" ht="12.75" customHeight="1" x14ac:dyDescent="0.25">
      <c r="A7" s="6" t="str">
        <f>IF(OR(ISBLANK('MH01 (2)'!A9),ISERROR('MH01 (2)'!A9)),"",'MH01 (2)'!A9)</f>
        <v/>
      </c>
      <c r="B7" s="594" t="str">
        <f>IF(OR(ISBLANK('MH01 (2)'!B9),ISERROR('MH01 (2)'!B9)),"",'MH01 (2)'!B9)</f>
        <v/>
      </c>
      <c r="C7" s="1006" t="str">
        <f>IF(OR(ISBLANK('MH01 (2)'!C9),ISERROR('MH01 (2)'!C9)),"",'MH01 (2)'!C9)</f>
        <v>modalidades</v>
      </c>
      <c r="D7" s="18" t="s">
        <v>61</v>
      </c>
      <c r="E7" s="1002" t="s">
        <v>428</v>
      </c>
      <c r="F7" s="1002" t="s">
        <v>427</v>
      </c>
      <c r="G7" s="1001" t="str">
        <f>IF(OR(ISBLANK('MH01 (2)'!G9),ISERROR('MH01 (2)'!G9)),"",'MH01 (2)'!G9)</f>
        <v/>
      </c>
      <c r="H7" s="1005" t="str">
        <f>IF(OR(ISBLANK('MH01 (2)'!H9),ISERROR('MH01 (2)'!H9)),"",'MH01 (2)'!H9)</f>
        <v/>
      </c>
      <c r="I7" s="4" t="str">
        <f>IF(OR(ISBLANK('MH01 (2)'!I9),ISERROR('MH01 (2)'!I9)),"",'MH01 (2)'!I9)</f>
        <v/>
      </c>
      <c r="J7" s="16" t="str">
        <f>IF(OR(ISBLANK('MH01 (2)'!J9),ISERROR('MH01 (2)'!J9)),"",'MH01 (2)'!J9)</f>
        <v/>
      </c>
      <c r="K7" s="6" t="str">
        <f>IF(OR(ISBLANK('MH01 (2)'!K9),ISERROR('MH01 (2)'!K9)),"",'MH01 (2)'!K9)</f>
        <v/>
      </c>
      <c r="L7" s="4" t="str">
        <f>IF(OR(ISBLANK('MH01 (2)'!L9),ISERROR('MH01 (2)'!L9)),"",'MH01 (2)'!L9)</f>
        <v/>
      </c>
      <c r="M7" s="4"/>
      <c r="N7" s="4"/>
      <c r="O7" s="4"/>
      <c r="P7" s="4"/>
    </row>
    <row r="8" spans="1:21" s="6" customFormat="1" ht="12.75" customHeight="1" x14ac:dyDescent="0.2">
      <c r="A8" s="6" t="str">
        <f>IF(OR(ISBLANK('MH01 (2)'!A10),ISERROR('MH01 (2)'!A10)),"",'MH01 (2)'!A10)</f>
        <v/>
      </c>
      <c r="B8" s="594" t="str">
        <f>IF(OR(ISBLANK('MH01 (2)'!B10),ISERROR('MH01 (2)'!B10)),"",'MH01 (2)'!B10)</f>
        <v/>
      </c>
      <c r="C8" s="13" t="str">
        <f>IF(OR(ISBLANK('MH01 (2)'!C10),ISERROR('MH01 (2)'!C10)),"",'MH01 (2)'!C10)</f>
        <v>Condicion 2</v>
      </c>
      <c r="D8" s="1287" t="s">
        <v>429</v>
      </c>
      <c r="E8" s="1287" t="s">
        <v>61</v>
      </c>
      <c r="F8" s="1287" t="s">
        <v>61</v>
      </c>
      <c r="G8" s="1001" t="str">
        <f>IF(OR(ISBLANK('MH01 (2)'!G10),ISERROR('MH01 (2)'!G10)),"",'MH01 (2)'!G10)</f>
        <v/>
      </c>
      <c r="H8" s="1005" t="str">
        <f>IF(OR(ISBLANK('MH01 (2)'!H10),ISERROR('MH01 (2)'!H10)),"",'MH01 (2)'!H10)</f>
        <v/>
      </c>
      <c r="I8" s="4" t="str">
        <f>IF(OR(ISBLANK('MH01 (2)'!I10),ISERROR('MH01 (2)'!I10)),"",'MH01 (2)'!I10)</f>
        <v/>
      </c>
      <c r="J8" s="16" t="str">
        <f>IF(OR(ISBLANK('MH01 (2)'!J10),ISERROR('MH01 (2)'!J10)),"",'MH01 (2)'!J10)</f>
        <v/>
      </c>
      <c r="K8" s="6" t="str">
        <f>IF(OR(ISBLANK('MH01 (2)'!K10),ISERROR('MH01 (2)'!K10)),"",'MH01 (2)'!K10)</f>
        <v/>
      </c>
      <c r="L8" s="4" t="str">
        <f>IF(OR(ISBLANK('MH01 (2)'!L10),ISERROR('MH01 (2)'!L10)),"",'MH01 (2)'!L10)</f>
        <v/>
      </c>
      <c r="M8" s="4"/>
      <c r="N8" s="4"/>
      <c r="O8" s="4"/>
      <c r="P8" s="4"/>
    </row>
    <row r="9" spans="1:21" s="6" customFormat="1" ht="12.75" customHeight="1" x14ac:dyDescent="0.2">
      <c r="A9" s="6" t="str">
        <f>IF(OR(ISBLANK('MH01 (2)'!A11),ISERROR('MH01 (2)'!A11)),"",'MH01 (2)'!A11)</f>
        <v/>
      </c>
      <c r="B9" s="594" t="str">
        <f>IF(OR(ISBLANK('MH01 (2)'!B11),ISERROR('MH01 (2)'!B11)),"",'MH01 (2)'!B11)</f>
        <v/>
      </c>
      <c r="C9" s="1004" t="str">
        <f>IF(OR(ISBLANK('MH01 (2)'!C11),ISERROR('MH01 (2)'!C11)),"",'MH01 (2)'!C11)</f>
        <v>modalidades</v>
      </c>
      <c r="D9" s="1003" t="s">
        <v>61</v>
      </c>
      <c r="E9" s="1002" t="s">
        <v>428</v>
      </c>
      <c r="F9" s="1002" t="s">
        <v>427</v>
      </c>
      <c r="G9" s="1001" t="str">
        <f>IF(OR(ISBLANK('MH01 (2)'!G11),ISERROR('MH01 (2)'!G11)),"",'MH01 (2)'!G11)</f>
        <v/>
      </c>
      <c r="H9" s="1000" t="str">
        <f>IF(OR(ISBLANK('MH01 (2)'!H11),ISERROR('MH01 (2)'!H11)),"",'MH01 (2)'!H11)</f>
        <v/>
      </c>
      <c r="I9" s="6" t="str">
        <f>IF(OR(ISBLANK('MH01 (2)'!I11),ISERROR('MH01 (2)'!I11)),"",'MH01 (2)'!I11)</f>
        <v/>
      </c>
      <c r="J9" s="16" t="str">
        <f>IF(OR(ISBLANK('MH01 (2)'!J11),ISERROR('MH01 (2)'!J11)),"",'MH01 (2)'!J11)</f>
        <v/>
      </c>
      <c r="K9" s="6" t="str">
        <f>IF(OR(ISBLANK('MH01 (2)'!K11),ISERROR('MH01 (2)'!K11)),"",'MH01 (2)'!K11)</f>
        <v/>
      </c>
      <c r="L9" s="4" t="str">
        <f>IF(OR(ISBLANK('MH01 (2)'!L11),ISERROR('MH01 (2)'!L11)),"",'MH01 (2)'!L11)</f>
        <v/>
      </c>
      <c r="M9" s="4"/>
      <c r="N9" s="4"/>
      <c r="O9" s="4"/>
      <c r="P9" s="4"/>
    </row>
    <row r="10" spans="1:21" s="25" customFormat="1" ht="12.75" customHeight="1" x14ac:dyDescent="0.25">
      <c r="A10" s="25" t="str">
        <f>IF(OR(ISBLANK('MH01 (2)'!A12),ISERROR('MH01 (2)'!A12)),"",'MH01 (2)'!A12)</f>
        <v/>
      </c>
      <c r="B10" s="998" t="str">
        <f>IF(OR(ISBLANK('MH01 (2)'!B12),ISERROR('MH01 (2)'!B12)),"",'MH01 (2)'!B12)</f>
        <v/>
      </c>
      <c r="C10" s="25" t="str">
        <f>IF(OR(ISBLANK('MH01 (2)'!C12),ISERROR('MH01 (2)'!C12)),"",'MH01 (2)'!C12)</f>
        <v/>
      </c>
      <c r="D10" s="997" t="str">
        <f>IF(OR(ISBLANK('MH01 (2)'!D12),ISERROR('MH01 (2)'!D12)),"",'MH01 (2)'!D12)</f>
        <v/>
      </c>
      <c r="E10" s="997" t="str">
        <f>IF(OR(ISBLANK('MH01 (2)'!E12),ISERROR('MH01 (2)'!E12)),"",'MH01 (2)'!E12)</f>
        <v/>
      </c>
      <c r="F10" s="997" t="str">
        <f>IF(OR(ISBLANK('MH01 (2)'!F12),ISERROR('MH01 (2)'!F12)),"",'MH01 (2)'!F12)</f>
        <v/>
      </c>
      <c r="G10" s="18" t="str">
        <f>IF(OR(ISBLANK('MH01 (2)'!G12),ISERROR('MH01 (2)'!G12)),"",'MH01 (2)'!G12)</f>
        <v/>
      </c>
      <c r="H10" s="24" t="str">
        <f>IF(OR(ISBLANK('MH01 (2)'!H12),ISERROR('MH01 (2)'!H12)),"",'MH01 (2)'!H12)</f>
        <v/>
      </c>
      <c r="I10" s="24" t="str">
        <f>IF(OR(ISBLANK('MH01 (2)'!I12),ISERROR('MH01 (2)'!I12)),"",'MH01 (2)'!I12)</f>
        <v/>
      </c>
      <c r="J10" s="24" t="str">
        <f>IF(OR(ISBLANK('MH01 (2)'!J12),ISERROR('MH01 (2)'!J12)),"",'MH01 (2)'!J12)</f>
        <v/>
      </c>
      <c r="K10" s="24" t="str">
        <f>IF(OR(ISBLANK('MH01 (2)'!K12),ISERROR('MH01 (2)'!K12)),"",'MH01 (2)'!K12)</f>
        <v/>
      </c>
      <c r="L10" s="27" t="str">
        <f>IF(OR(ISBLANK('MH01 (2)'!L12),ISERROR('MH01 (2)'!L12)),"",'MH01 (2)'!L12)</f>
        <v/>
      </c>
      <c r="M10" s="27"/>
      <c r="N10" s="27"/>
      <c r="O10" s="27"/>
      <c r="P10" s="27"/>
      <c r="Q10" s="1333"/>
      <c r="R10" s="1333"/>
      <c r="S10" s="6"/>
      <c r="T10" s="6"/>
      <c r="U10" s="6"/>
    </row>
    <row r="11" spans="1:21" s="25" customFormat="1" ht="12.75" customHeight="1" x14ac:dyDescent="0.25">
      <c r="A11" s="25" t="str">
        <f>IF(OR(ISBLANK('MH01 (2)'!A13),ISERROR('MH01 (2)'!A13)),"",'MH01 (2)'!A13)</f>
        <v/>
      </c>
      <c r="B11" s="998" t="str">
        <f>IF(OR(ISBLANK('MH01 (2)'!B13),ISERROR('MH01 (2)'!B13)),"",'MH01 (2)'!B13)</f>
        <v/>
      </c>
      <c r="C11" s="72" t="str">
        <f>IF(OR(ISBLANK('MH01 (2)'!C13),ISERROR('MH01 (2)'!C13)),"",'MH01 (2)'!C13)</f>
        <v>Nivel de Confianza:</v>
      </c>
      <c r="D11" s="72"/>
      <c r="E11" s="936">
        <v>0.95</v>
      </c>
      <c r="F11" s="73"/>
      <c r="G11" s="999"/>
      <c r="H11" s="24" t="str">
        <f>IF(OR(ISBLANK('MH01 (2)'!H13),ISERROR('MH01 (2)'!H13)),"",'MH01 (2)'!H13)</f>
        <v/>
      </c>
      <c r="I11" s="24" t="str">
        <f>IF(OR(ISBLANK('MH01 (2)'!I13),ISERROR('MH01 (2)'!I13)),"",'MH01 (2)'!I13)</f>
        <v/>
      </c>
      <c r="J11" s="24" t="str">
        <f>IF(OR(ISBLANK('MH01 (2)'!J13),ISERROR('MH01 (2)'!J13)),"",'MH01 (2)'!J13)</f>
        <v/>
      </c>
      <c r="K11" s="24" t="str">
        <f>IF(OR(ISBLANK('MH01 (2)'!K13),ISERROR('MH01 (2)'!K13)),"",'MH01 (2)'!K13)</f>
        <v/>
      </c>
      <c r="L11" s="27" t="str">
        <f>IF(OR(ISBLANK('MH01 (2)'!L13),ISERROR('MH01 (2)'!L13)),"",'MH01 (2)'!L13)</f>
        <v/>
      </c>
      <c r="M11" s="27"/>
      <c r="N11" s="27"/>
      <c r="O11" s="27"/>
      <c r="P11" s="27"/>
      <c r="Q11" s="1333"/>
      <c r="R11" s="1333"/>
      <c r="S11" s="6"/>
      <c r="T11" s="6"/>
      <c r="U11" s="6"/>
    </row>
    <row r="12" spans="1:21" s="25" customFormat="1" ht="12.75" customHeight="1" x14ac:dyDescent="0.25">
      <c r="A12" s="25" t="str">
        <f>IF(OR(ISBLANK('MH01 (2)'!A14),ISERROR('MH01 (2)'!A14)),"",'MH01 (2)'!A14)</f>
        <v/>
      </c>
      <c r="B12" s="998" t="str">
        <f>IF(OR(ISBLANK('MH01 (2)'!B14),ISERROR('MH01 (2)'!B14)),"",'MH01 (2)'!B14)</f>
        <v/>
      </c>
      <c r="C12" s="25" t="str">
        <f>IF(OR(ISBLANK('MH01 (2)'!C14),ISERROR('MH01 (2)'!C14)),"",'MH01 (2)'!C14)</f>
        <v/>
      </c>
      <c r="D12" s="997" t="str">
        <f>IF(OR(ISBLANK('MH01 (2)'!D14),ISERROR('MH01 (2)'!D14)),"",'MH01 (2)'!D14)</f>
        <v/>
      </c>
      <c r="E12" s="997" t="str">
        <f>IF(OR(ISBLANK('MH01 (2)'!E14),ISERROR('MH01 (2)'!E14)),"",'MH01 (2)'!E14)</f>
        <v/>
      </c>
      <c r="F12" s="997" t="str">
        <f>IF(OR(ISBLANK('MH01 (2)'!F14),ISERROR('MH01 (2)'!F14)),"",'MH01 (2)'!F14)</f>
        <v/>
      </c>
      <c r="G12" s="18" t="str">
        <f>IF(OR(ISBLANK('MH01 (2)'!G14),ISERROR('MH01 (2)'!G14)),"",'MH01 (2)'!G14)</f>
        <v/>
      </c>
      <c r="H12" s="24" t="str">
        <f>IF(OR(ISBLANK('MH01 (2)'!H14),ISERROR('MH01 (2)'!H14)),"",'MH01 (2)'!H14)</f>
        <v/>
      </c>
      <c r="I12" s="24" t="str">
        <f>IF(OR(ISBLANK('MH01 (2)'!I14),ISERROR('MH01 (2)'!I14)),"",'MH01 (2)'!I14)</f>
        <v/>
      </c>
      <c r="J12" s="24" t="str">
        <f>IF(OR(ISBLANK('MH01 (2)'!J14),ISERROR('MH01 (2)'!J14)),"",'MH01 (2)'!J14)</f>
        <v/>
      </c>
      <c r="K12" s="24" t="str">
        <f>IF(OR(ISBLANK('MH01 (2)'!K14),ISERROR('MH01 (2)'!K14)),"",'MH01 (2)'!K14)</f>
        <v/>
      </c>
      <c r="L12" s="27" t="str">
        <f>IF(OR(ISBLANK('MH01 (2)'!L14),ISERROR('MH01 (2)'!L14)),"",'MH01 (2)'!L14)</f>
        <v/>
      </c>
      <c r="M12" s="27"/>
      <c r="N12" s="27"/>
      <c r="O12" s="27"/>
      <c r="P12" s="27"/>
      <c r="Q12" s="1333"/>
      <c r="R12" s="1333"/>
      <c r="S12" s="6"/>
      <c r="T12" s="6"/>
      <c r="U12" s="6"/>
    </row>
    <row r="13" spans="1:21" s="25" customFormat="1" ht="12.75" customHeight="1" thickBot="1" x14ac:dyDescent="0.25">
      <c r="A13" s="25" t="str">
        <f>IF(OR(ISBLANK('MH01 (2)'!A15),ISERROR('MH01 (2)'!A15)),"",'MH01 (2)'!A15)</f>
        <v/>
      </c>
      <c r="B13" s="792">
        <f>IF(OR(ISBLANK('MH01 (2)'!B15),ISERROR('MH01 (2)'!B15)),"",'MH01 (2)'!B15)</f>
        <v>2</v>
      </c>
      <c r="C13" s="146" t="str">
        <f>IF(OR(ISBLANK('MH01 (2)'!C15),ISERROR('MH01 (2)'!C15)),"",'MH01 (2)'!C15)</f>
        <v>Datos</v>
      </c>
      <c r="D13" s="146" t="str">
        <f>IF(OR(ISBLANK('MH01 (2)'!D15),ISERROR('MH01 (2)'!D15)),"",'MH01 (2)'!D15)</f>
        <v/>
      </c>
      <c r="E13" s="146" t="str">
        <f>IF(OR(ISBLANK('MH01 (2)'!E15),ISERROR('MH01 (2)'!E15)),"",'MH01 (2)'!E15)</f>
        <v/>
      </c>
      <c r="F13" s="146" t="str">
        <f>IF(OR(ISBLANK('MH01 (2)'!F15),ISERROR('MH01 (2)'!F15)),"",'MH01 (2)'!F15)</f>
        <v/>
      </c>
      <c r="G13" s="146" t="str">
        <f>IF(OR(ISBLANK('MH01 (2)'!G15),ISERROR('MH01 (2)'!G15)),"",'MH01 (2)'!G15)</f>
        <v/>
      </c>
      <c r="H13" s="146" t="str">
        <f>IF(OR(ISBLANK('MH01 (2)'!H15),ISERROR('MH01 (2)'!H15)),"",'MH01 (2)'!H15)</f>
        <v/>
      </c>
      <c r="I13" s="146" t="str">
        <f>IF(OR(ISBLANK('MH01 (2)'!I15),ISERROR('MH01 (2)'!I15)),"",'MH01 (2)'!I15)</f>
        <v/>
      </c>
      <c r="J13" s="146" t="str">
        <f>IF(OR(ISBLANK('MH01 (2)'!J15),ISERROR('MH01 (2)'!J15)),"",'MH01 (2)'!J15)</f>
        <v/>
      </c>
      <c r="K13" s="146" t="str">
        <f>IF(OR(ISBLANK('MH01 (2)'!K15),ISERROR('MH01 (2)'!K15)),"",'MH01 (2)'!K15)</f>
        <v/>
      </c>
      <c r="L13" s="66" t="str">
        <f>IF(OR(ISBLANK('MH01 (2)'!L15),ISERROR('MH01 (2)'!L15)),"",'MH01 (2)'!L15)</f>
        <v/>
      </c>
      <c r="M13" s="27"/>
      <c r="N13" s="27"/>
      <c r="O13" s="27"/>
      <c r="P13" s="27"/>
      <c r="Q13" s="1333"/>
      <c r="R13" s="1333"/>
      <c r="S13" s="6"/>
      <c r="T13" s="6"/>
      <c r="U13" s="6"/>
    </row>
    <row r="14" spans="1:21" s="25" customFormat="1" ht="12.75" customHeight="1" thickBot="1" x14ac:dyDescent="0.25">
      <c r="A14" s="25" t="str">
        <f>IF(OR(ISBLANK('MH01 (2)'!A16),ISERROR('MH01 (2)'!A16)),"",'MH01 (2)'!A16)</f>
        <v/>
      </c>
      <c r="B14" s="981" t="str">
        <f>IF(OR(ISBLANK('MH01 (2)'!B16),ISERROR('MH01 (2)'!B16)),"",'MH01 (2)'!B16)</f>
        <v/>
      </c>
      <c r="C14" s="980" t="str">
        <f>IF(OR(ISBLANK('MH01 (2)'!C16),ISERROR('MH01 (2)'!C16)),"",'MH01 (2)'!C16)</f>
        <v/>
      </c>
      <c r="D14" s="980" t="str">
        <f>IF(OR(ISBLANK('MH01 (2)'!D16),ISERROR('MH01 (2)'!D16)),"",'MH01 (2)'!D16)</f>
        <v/>
      </c>
      <c r="E14" s="980" t="str">
        <f>IF(OR(ISBLANK('MH01 (2)'!E16),ISERROR('MH01 (2)'!E16)),"",'MH01 (2)'!E16)</f>
        <v/>
      </c>
      <c r="F14" s="980" t="str">
        <f>IF(OR(ISBLANK('MH01 (2)'!F16),ISERROR('MH01 (2)'!F16)),"",'MH01 (2)'!F16)</f>
        <v/>
      </c>
      <c r="G14" s="980" t="str">
        <f>IF(OR(ISBLANK('MH01 (2)'!G16),ISERROR('MH01 (2)'!G16)),"",'MH01 (2)'!G16)</f>
        <v/>
      </c>
      <c r="H14" s="980" t="str">
        <f>IF(OR(ISBLANK('MH01 (2)'!H16),ISERROR('MH01 (2)'!H16)),"",'MH01 (2)'!H16)</f>
        <v/>
      </c>
      <c r="I14" s="980" t="str">
        <f>IF(OR(ISBLANK('MH01 (2)'!I16),ISERROR('MH01 (2)'!I16)),"",'MH01 (2)'!I16)</f>
        <v/>
      </c>
      <c r="J14" s="980" t="str">
        <f>IF(OR(ISBLANK('MH01 (2)'!J16),ISERROR('MH01 (2)'!J16)),"",'MH01 (2)'!J16)</f>
        <v/>
      </c>
      <c r="K14" s="980" t="str">
        <f>IF(OR(ISBLANK('MH01 (2)'!K16),ISERROR('MH01 (2)'!K16)),"",'MH01 (2)'!K16)</f>
        <v/>
      </c>
      <c r="L14" s="27" t="str">
        <f>IF(OR(ISBLANK('MH01 (2)'!L16),ISERROR('MH01 (2)'!L16)),"",'MH01 (2)'!L16)</f>
        <v/>
      </c>
      <c r="M14" s="27"/>
      <c r="N14" s="27"/>
      <c r="O14" s="27"/>
      <c r="P14" s="27"/>
      <c r="Q14" s="6"/>
      <c r="R14" s="6"/>
      <c r="S14" s="6"/>
      <c r="T14" s="6"/>
      <c r="U14" s="6"/>
    </row>
    <row r="15" spans="1:21" s="25" customFormat="1" ht="12.75" customHeight="1" thickBot="1" x14ac:dyDescent="0.25">
      <c r="A15" s="25" t="str">
        <f>IF(OR(ISBLANK('MH01 (2)'!A17),ISERROR('MH01 (2)'!A17)),"",'MH01 (2)'!A17)</f>
        <v/>
      </c>
      <c r="B15" s="83" t="str">
        <f>IF(OR(ISBLANK('MH01 (2)'!B17),ISERROR('MH01 (2)'!B17)),"",'MH01 (2)'!B17)</f>
        <v/>
      </c>
      <c r="C15" s="1320" t="str">
        <f>IF(OR(ISBLANK('MH01 (2)'!C17),ISERROR('MH01 (2)'!C17)),"",'MH01 (2)'!C17)</f>
        <v>Estudio pretest-postest</v>
      </c>
      <c r="D15" s="1321" t="str">
        <f>IF(OR(ISBLANK('MH01 (2)'!D17),ISERROR('MH01 (2)'!D17)),"",'MH01 (2)'!D17)</f>
        <v/>
      </c>
      <c r="E15" s="1324" t="str">
        <f>IF(OR(ISBLANK('MH01 (2)'!E17),ISERROR('MH01 (2)'!E17)),"",'MH01 (2)'!E17)</f>
        <v>Posttest</v>
      </c>
      <c r="F15" s="1325" t="str">
        <f>IF(OR(ISBLANK('MH01 (2)'!F17),ISERROR('MH01 (2)'!F17)),"",'MH01 (2)'!F17)</f>
        <v/>
      </c>
      <c r="G15" s="980" t="str">
        <f>IF(OR(ISBLANK('MH01 (2)'!G17),ISERROR('MH01 (2)'!G17)),"",'MH01 (2)'!G17)</f>
        <v/>
      </c>
      <c r="H15" s="980" t="str">
        <f>IF(OR(ISBLANK('MH01 (2)'!H17),ISERROR('MH01 (2)'!H17)),"",'MH01 (2)'!H17)</f>
        <v/>
      </c>
      <c r="I15" s="980" t="str">
        <f>IF(OR(ISBLANK('MH01 (2)'!I17),ISERROR('MH01 (2)'!I17)),"",'MH01 (2)'!I17)</f>
        <v/>
      </c>
      <c r="J15" s="980" t="str">
        <f>IF(OR(ISBLANK('MH01 (2)'!J17),ISERROR('MH01 (2)'!J17)),"",'MH01 (2)'!J17)</f>
        <v/>
      </c>
      <c r="K15" s="980" t="str">
        <f>IF(OR(ISBLANK('MH01 (2)'!K17),ISERROR('MH01 (2)'!K17)),"",'MH01 (2)'!K17)</f>
        <v/>
      </c>
      <c r="L15" s="25" t="str">
        <f>IF(OR(ISBLANK('MH01 (2)'!L17),ISERROR('MH01 (2)'!L17)),"",'MH01 (2)'!L17)</f>
        <v/>
      </c>
      <c r="Q15" s="6"/>
      <c r="R15" s="6"/>
      <c r="S15" s="6"/>
      <c r="T15" s="6"/>
      <c r="U15" s="6"/>
    </row>
    <row r="16" spans="1:21" s="25" customFormat="1" ht="12.75" customHeight="1" thickBot="1" x14ac:dyDescent="0.25">
      <c r="A16" s="25" t="str">
        <f>IF(OR(ISBLANK('MH01 (2)'!A18),ISERROR('MH01 (2)'!A18)),"",'MH01 (2)'!A18)</f>
        <v/>
      </c>
      <c r="B16" s="981" t="str">
        <f>IF(OR(ISBLANK('MH01 (2)'!B18),ISERROR('MH01 (2)'!B18)),"",'MH01 (2)'!B18)</f>
        <v/>
      </c>
      <c r="C16" s="1322" t="str">
        <f>IF(OR(ISBLANK('MH01 (2)'!C18),ISERROR('MH01 (2)'!C18)),"",'MH01 (2)'!C18)</f>
        <v/>
      </c>
      <c r="D16" s="1323" t="str">
        <f>IF(OR(ISBLANK('MH01 (2)'!D18),ISERROR('MH01 (2)'!D18)),"",'MH01 (2)'!D18)</f>
        <v/>
      </c>
      <c r="E16" s="979" t="str">
        <f>IF(OR(ISBLANK('MH01 (2)'!E18),ISERROR('MH01 (2)'!E18)),"",'MH01 (2)'!E18)</f>
        <v>si</v>
      </c>
      <c r="F16" s="978" t="str">
        <f>IF(OR(ISBLANK('MH01 (2)'!F18),ISERROR('MH01 (2)'!F18)),"",'MH01 (2)'!F18)</f>
        <v>no</v>
      </c>
      <c r="G16" s="980" t="str">
        <f>IF(OR(ISBLANK('MH01 (2)'!G18),ISERROR('MH01 (2)'!G18)),"",'MH01 (2)'!G18)</f>
        <v/>
      </c>
      <c r="H16" s="980" t="str">
        <f>IF(OR(ISBLANK('MH01 (2)'!H18),ISERROR('MH01 (2)'!H18)),"",'MH01 (2)'!H18)</f>
        <v/>
      </c>
      <c r="I16" s="1326" t="str">
        <f>IF(OR(ISBLANK('MH01 (2)'!I18),ISERROR('MH01 (2)'!I18)),"",'MH01 (2)'!I18)</f>
        <v>% Totales</v>
      </c>
      <c r="J16" s="1327" t="str">
        <f>IF(OR(ISBLANK('MH01 (2)'!J18),ISERROR('MH01 (2)'!J18)),"",'MH01 (2)'!J18)</f>
        <v/>
      </c>
      <c r="K16" s="1328" t="str">
        <f>IF(OR(ISBLANK('MH01 (2)'!K18),ISERROR('MH01 (2)'!K18)),"",'MH01 (2)'!K18)</f>
        <v/>
      </c>
      <c r="L16" s="25" t="str">
        <f>IF(OR(ISBLANK('MH01 (2)'!L18),ISERROR('MH01 (2)'!L18)),"",'MH01 (2)'!L18)</f>
        <v/>
      </c>
      <c r="Q16" s="6"/>
      <c r="R16" s="6"/>
      <c r="S16" s="6"/>
      <c r="T16" s="6"/>
      <c r="U16" s="6"/>
    </row>
    <row r="17" spans="1:21" s="25" customFormat="1" ht="12.75" customHeight="1" x14ac:dyDescent="0.2">
      <c r="A17" s="25" t="str">
        <f>IF(OR(ISBLANK('MH01 (2)'!A19),ISERROR('MH01 (2)'!A19)),"",'MH01 (2)'!A19)</f>
        <v/>
      </c>
      <c r="B17" s="981" t="str">
        <f>IF(OR(ISBLANK('MH01 (2)'!B19),ISERROR('MH01 (2)'!B19)),"",'MH01 (2)'!B19)</f>
        <v/>
      </c>
      <c r="C17" s="1329" t="str">
        <f>IF(OR(ISBLANK('MH01 (2)'!C19),ISERROR('MH01 (2)'!C19)),"",'MH01 (2)'!C19)</f>
        <v>Pretest</v>
      </c>
      <c r="D17" s="995" t="str">
        <f>IF(OR(ISBLANK('MH01 (2)'!D19),ISERROR('MH01 (2)'!D19)),"",'MH01 (2)'!D19)</f>
        <v>si</v>
      </c>
      <c r="E17" s="994">
        <v>30</v>
      </c>
      <c r="F17" s="993">
        <v>11</v>
      </c>
      <c r="G17" s="992">
        <f>IF(OR(ISBLANK('MH01 (2)'!G19),ISERROR('MH01 (2)'!G19)),"",'MH01 (2)'!G19)</f>
        <v>41</v>
      </c>
      <c r="H17" s="976" t="str">
        <f>IF(OR(ISBLANK('MH01 (2)'!H19),ISERROR('MH01 (2)'!H19)),"",'MH01 (2)'!H19)</f>
        <v/>
      </c>
      <c r="I17" s="991">
        <f>IF(OR(ISBLANK('MH01 (2)'!I19),ISERROR('MH01 (2)'!I19)),"",'MH01 (2)'!I19)</f>
        <v>0.42857142857142855</v>
      </c>
      <c r="J17" s="990">
        <f>IF(OR(ISBLANK('MH01 (2)'!J19),ISERROR('MH01 (2)'!J19)),"",'MH01 (2)'!J19)</f>
        <v>0.15714285714285714</v>
      </c>
      <c r="K17" s="989">
        <f>IF(OR(ISBLANK('MH01 (2)'!K19),ISERROR('MH01 (2)'!K19)),"",'MH01 (2)'!K19)</f>
        <v>0.58571428571428574</v>
      </c>
      <c r="L17" s="988" t="str">
        <f>IF(OR(ISBLANK('MH01 (2)'!L19),ISERROR('MH01 (2)'!L19)),"",'MH01 (2)'!L19)</f>
        <v>=p1</v>
      </c>
      <c r="M17" s="982"/>
      <c r="Q17" s="6"/>
      <c r="R17" s="6"/>
      <c r="S17" s="6"/>
      <c r="T17" s="6"/>
      <c r="U17" s="6"/>
    </row>
    <row r="18" spans="1:21" s="25" customFormat="1" ht="12.75" customHeight="1" thickBot="1" x14ac:dyDescent="0.25">
      <c r="A18" s="25" t="str">
        <f>IF(OR(ISBLANK('MH01 (2)'!A20),ISERROR('MH01 (2)'!A20)),"",'MH01 (2)'!A20)</f>
        <v/>
      </c>
      <c r="B18" s="981" t="str">
        <f>IF(OR(ISBLANK('MH01 (2)'!B20),ISERROR('MH01 (2)'!B20)),"",'MH01 (2)'!B20)</f>
        <v/>
      </c>
      <c r="C18" s="1330" t="str">
        <f>IF(OR(ISBLANK('MH01 (2)'!C20),ISERROR('MH01 (2)'!C20)),"",'MH01 (2)'!C20)</f>
        <v/>
      </c>
      <c r="D18" s="987" t="str">
        <f>IF(OR(ISBLANK('MH01 (2)'!D20),ISERROR('MH01 (2)'!D20)),"",'MH01 (2)'!D20)</f>
        <v>no</v>
      </c>
      <c r="E18" s="775">
        <v>8</v>
      </c>
      <c r="F18" s="776">
        <v>21</v>
      </c>
      <c r="G18" s="978">
        <f>IF(OR(ISBLANK('MH01 (2)'!G20),ISERROR('MH01 (2)'!G20)),"",'MH01 (2)'!G20)</f>
        <v>29</v>
      </c>
      <c r="H18" s="976" t="str">
        <f>IF(OR(ISBLANK('MH01 (2)'!H20),ISERROR('MH01 (2)'!H20)),"",'MH01 (2)'!H20)</f>
        <v/>
      </c>
      <c r="I18" s="986">
        <f>IF(OR(ISBLANK('MH01 (2)'!I20),ISERROR('MH01 (2)'!I20)),"",'MH01 (2)'!I20)</f>
        <v>0.11428571428571428</v>
      </c>
      <c r="J18" s="985">
        <f>IF(OR(ISBLANK('MH01 (2)'!J20),ISERROR('MH01 (2)'!J20)),"",'MH01 (2)'!J20)</f>
        <v>0.3</v>
      </c>
      <c r="K18" s="984">
        <f>IF(OR(ISBLANK('MH01 (2)'!K20),ISERROR('MH01 (2)'!K20)),"",'MH01 (2)'!K20)</f>
        <v>0.41428571428571431</v>
      </c>
      <c r="L18" s="983" t="str">
        <f>IF(OR(ISBLANK('MH01 (2)'!L20),ISERROR('MH01 (2)'!L20)),"",'MH01 (2)'!L20)</f>
        <v/>
      </c>
      <c r="M18" s="982"/>
      <c r="Q18" s="6"/>
      <c r="R18" s="6"/>
      <c r="S18" s="6"/>
      <c r="T18" s="6"/>
      <c r="U18" s="6"/>
    </row>
    <row r="19" spans="1:21" s="25" customFormat="1" ht="12.75" customHeight="1" thickBot="1" x14ac:dyDescent="0.25">
      <c r="A19" s="25" t="str">
        <f>IF(OR(ISBLANK('MH01 (2)'!A21),ISERROR('MH01 (2)'!A21)),"",'MH01 (2)'!A21)</f>
        <v/>
      </c>
      <c r="B19" s="981" t="str">
        <f>IF(OR(ISBLANK('MH01 (2)'!B21),ISERROR('MH01 (2)'!B21)),"",'MH01 (2)'!B21)</f>
        <v/>
      </c>
      <c r="C19" s="980" t="str">
        <f>IF(OR(ISBLANK('MH01 (2)'!C21),ISERROR('MH01 (2)'!C21)),"",'MH01 (2)'!C21)</f>
        <v/>
      </c>
      <c r="D19" s="980" t="str">
        <f>IF(OR(ISBLANK('MH01 (2)'!D21),ISERROR('MH01 (2)'!D21)),"",'MH01 (2)'!D21)</f>
        <v/>
      </c>
      <c r="E19" s="979">
        <f>IF(OR(ISBLANK('MH01 (2)'!E21),ISERROR('MH01 (2)'!E21)),"",'MH01 (2)'!E21)</f>
        <v>38</v>
      </c>
      <c r="F19" s="978">
        <v>3</v>
      </c>
      <c r="G19" s="977">
        <f>IF(OR(ISBLANK('MH01 (2)'!G21),ISERROR('MH01 (2)'!G21)),"",'MH01 (2)'!G21)</f>
        <v>70</v>
      </c>
      <c r="H19" s="976" t="str">
        <f>IF(OR(ISBLANK('MH01 (2)'!H21),ISERROR('MH01 (2)'!H21)),"",'MH01 (2)'!H21)</f>
        <v/>
      </c>
      <c r="I19" s="975">
        <f>IF(OR(ISBLANK('MH01 (2)'!I21),ISERROR('MH01 (2)'!I21)),"",'MH01 (2)'!I21)</f>
        <v>0.54285714285714282</v>
      </c>
      <c r="J19" s="974">
        <f>IF(OR(ISBLANK('MH01 (2)'!J21),ISERROR('MH01 (2)'!J21)),"",'MH01 (2)'!J21)</f>
        <v>0.45714285714285713</v>
      </c>
      <c r="K19" s="973">
        <f>IF(OR(ISBLANK('MH01 (2)'!K21),ISERROR('MH01 (2)'!K21)),"",'MH01 (2)'!K21)</f>
        <v>1</v>
      </c>
      <c r="L19" s="25" t="str">
        <f>IF(OR(ISBLANK('MH01 (2)'!L21),ISERROR('MH01 (2)'!L21)),"",'MH01 (2)'!L21)</f>
        <v/>
      </c>
      <c r="Q19" s="6"/>
      <c r="R19" s="6"/>
      <c r="S19" s="6"/>
      <c r="T19" s="6"/>
      <c r="U19" s="6"/>
    </row>
    <row r="20" spans="1:21" x14ac:dyDescent="0.2">
      <c r="A20" t="str">
        <f>IF(OR(ISBLANK('MH01 (2)'!A22),ISERROR('MH01 (2)'!A22)),"",'MH01 (2)'!A22)</f>
        <v/>
      </c>
      <c r="B20" s="924" t="str">
        <f>IF(OR(ISBLANK('MH01 (2)'!B22),ISERROR('MH01 (2)'!B22)),"",'MH01 (2)'!B22)</f>
        <v/>
      </c>
      <c r="C20" t="str">
        <f>IF(OR(ISBLANK('MH01 (2)'!C22),ISERROR('MH01 (2)'!C22)),"",'MH01 (2)'!C22)</f>
        <v/>
      </c>
      <c r="D20" t="str">
        <f>IF(OR(ISBLANK('MH01 (2)'!D22),ISERROR('MH01 (2)'!D22)),"",'MH01 (2)'!D22)</f>
        <v/>
      </c>
      <c r="E20" t="str">
        <f>IF(OR(ISBLANK('MH01 (2)'!E22),ISERROR('MH01 (2)'!E22)),"",'MH01 (2)'!E22)</f>
        <v/>
      </c>
      <c r="F20" t="str">
        <f>IF(OR(ISBLANK('MH01 (2)'!F22),ISERROR('MH01 (2)'!F22)),"",'MH01 (2)'!F22)</f>
        <v/>
      </c>
      <c r="G20" t="str">
        <f>IF(OR(ISBLANK('MH01 (2)'!G22),ISERROR('MH01 (2)'!G22)),"",'MH01 (2)'!G22)</f>
        <v/>
      </c>
      <c r="H20" t="str">
        <f>IF(OR(ISBLANK('MH01 (2)'!H22),ISERROR('MH01 (2)'!H22)),"",'MH01 (2)'!H22)</f>
        <v/>
      </c>
      <c r="I20" s="972" t="str">
        <f>IF(OR(ISBLANK('MH01 (2)'!I22),ISERROR('MH01 (2)'!I22)),"",'MH01 (2)'!I22)</f>
        <v>=p2</v>
      </c>
      <c r="J20" t="str">
        <f>IF(OR(ISBLANK('MH01 (2)'!J22),ISERROR('MH01 (2)'!J22)),"",'MH01 (2)'!J22)</f>
        <v/>
      </c>
      <c r="K20" t="str">
        <f>IF(OR(ISBLANK('MH01 (2)'!K22),ISERROR('MH01 (2)'!K22)),"",'MH01 (2)'!K22)</f>
        <v/>
      </c>
      <c r="L20" t="str">
        <f>IF(OR(ISBLANK('MH01 (2)'!L22),ISERROR('MH01 (2)'!L22)),"",'MH01 (2)'!L22)</f>
        <v/>
      </c>
      <c r="Q20" s="914"/>
      <c r="R20" s="914"/>
      <c r="S20" s="914"/>
      <c r="T20" s="914"/>
      <c r="U20" s="914"/>
    </row>
    <row r="21" spans="1:21" x14ac:dyDescent="0.2">
      <c r="A21" t="str">
        <f>IF(OR(ISBLANK('MH01 (2)'!A23),ISERROR('MH01 (2)'!A23)),"",'MH01 (2)'!A23)</f>
        <v/>
      </c>
      <c r="B21" s="924" t="str">
        <f>IF(OR(ISBLANK('MH01 (2)'!B23),ISERROR('MH01 (2)'!B23)),"",'MH01 (2)'!B23)</f>
        <v/>
      </c>
      <c r="C21" t="str">
        <f>IF(OR(ISBLANK('MH01 (2)'!C23),ISERROR('MH01 (2)'!C23)),"",'MH01 (2)'!C23)</f>
        <v/>
      </c>
      <c r="D21" t="str">
        <f>IF(OR(ISBLANK('MH01 (2)'!D23),ISERROR('MH01 (2)'!D23)),"",'MH01 (2)'!D23)</f>
        <v/>
      </c>
      <c r="E21" t="str">
        <f>IF(OR(ISBLANK('MH01 (2)'!E23),ISERROR('MH01 (2)'!E23)),"",'MH01 (2)'!E23)</f>
        <v/>
      </c>
      <c r="F21" t="str">
        <f>IF(OR(ISBLANK('MH01 (2)'!F23),ISERROR('MH01 (2)'!F23)),"",'MH01 (2)'!F23)</f>
        <v/>
      </c>
      <c r="G21" t="str">
        <f>IF(OR(ISBLANK('MH01 (2)'!G23),ISERROR('MH01 (2)'!G23)),"",'MH01 (2)'!G23)</f>
        <v/>
      </c>
      <c r="H21" t="str">
        <f>IF(OR(ISBLANK('MH01 (2)'!H23),ISERROR('MH01 (2)'!H23)),"",'MH01 (2)'!H23)</f>
        <v/>
      </c>
      <c r="I21" t="str">
        <f>IF(OR(ISBLANK('MH01 (2)'!I23),ISERROR('MH01 (2)'!I23)),"",'MH01 (2)'!I23)</f>
        <v/>
      </c>
      <c r="J21" t="str">
        <f>IF(OR(ISBLANK('MH01 (2)'!J23),ISERROR('MH01 (2)'!J23)),"",'MH01 (2)'!J23)</f>
        <v/>
      </c>
      <c r="K21" t="str">
        <f>IF(OR(ISBLANK('MH01 (2)'!K23),ISERROR('MH01 (2)'!K23)),"",'MH01 (2)'!K23)</f>
        <v/>
      </c>
      <c r="L21" t="str">
        <f>IF(OR(ISBLANK('MH01 (2)'!L23),ISERROR('MH01 (2)'!L23)),"",'MH01 (2)'!L23)</f>
        <v/>
      </c>
      <c r="Q21" s="914"/>
      <c r="R21" s="914"/>
      <c r="S21" s="914"/>
      <c r="T21" s="914"/>
      <c r="U21" s="914"/>
    </row>
    <row r="22" spans="1:21" x14ac:dyDescent="0.2">
      <c r="A22" t="str">
        <f>IF(OR(ISBLANK('MH01 (2)'!A24),ISERROR('MH01 (2)'!A24)),"",'MH01 (2)'!A24)</f>
        <v/>
      </c>
      <c r="B22" s="924" t="str">
        <f>IF(OR(ISBLANK('MH01 (2)'!B24),ISERROR('MH01 (2)'!B24)),"",'MH01 (2)'!B24)</f>
        <v/>
      </c>
      <c r="C22" s="793" t="str">
        <f>IF(OR(ISBLANK('MH01 (2)'!C24),ISERROR('MH01 (2)'!C24)),"",'MH01 (2)'!C24)</f>
        <v/>
      </c>
      <c r="D22" s="971" t="str">
        <f>IF(OR(ISBLANK('MH01 (2)'!D24),ISERROR('MH01 (2)'!D24)),"",'MH01 (2)'!D24)</f>
        <v/>
      </c>
      <c r="E22" s="971" t="str">
        <f>IF(OR(ISBLANK('MH01 (2)'!E24),ISERROR('MH01 (2)'!E24)),"",'MH01 (2)'!E24)</f>
        <v/>
      </c>
      <c r="F22" s="793" t="str">
        <f>IF(OR(ISBLANK('MH01 (2)'!F24),ISERROR('MH01 (2)'!F24)),"",'MH01 (2)'!F24)</f>
        <v/>
      </c>
      <c r="G22" s="793" t="str">
        <f>IF(OR(ISBLANK('MH01 (2)'!G24),ISERROR('MH01 (2)'!G24)),"",'MH01 (2)'!G24)</f>
        <v/>
      </c>
      <c r="H22" t="str">
        <f>IF(OR(ISBLANK('MH01 (2)'!H24),ISERROR('MH01 (2)'!H24)),"",'MH01 (2)'!H24)</f>
        <v/>
      </c>
      <c r="I22" t="str">
        <f>IF(OR(ISBLANK('MH01 (2)'!I24),ISERROR('MH01 (2)'!I24)),"",'MH01 (2)'!I24)</f>
        <v/>
      </c>
      <c r="J22" s="970" t="str">
        <f>IF(OR(ISBLANK('MH01 (2)'!J24),ISERROR('MH01 (2)'!J24)),"",'MH01 (2)'!J24)</f>
        <v/>
      </c>
      <c r="K22" s="970" t="str">
        <f>IF(OR(ISBLANK('MH01 (2)'!K24),ISERROR('MH01 (2)'!K24)),"",'MH01 (2)'!K24)</f>
        <v/>
      </c>
      <c r="L22" t="str">
        <f>IF(OR(ISBLANK('MH01 (2)'!L24),ISERROR('MH01 (2)'!L24)),"",'MH01 (2)'!L24)</f>
        <v/>
      </c>
      <c r="M22" s="926"/>
      <c r="N22" s="926"/>
      <c r="O22" s="926"/>
      <c r="P22" s="926"/>
    </row>
    <row r="23" spans="1:21" ht="15.75" thickBot="1" x14ac:dyDescent="0.3">
      <c r="A23" t="str">
        <f>IF(OR(ISBLANK('MH01 (2)'!A25),ISERROR('MH01 (2)'!A25)),"",'MH01 (2)'!A25)</f>
        <v/>
      </c>
      <c r="B23" s="920">
        <f>IF(OR(ISBLANK('MH01 (2)'!B25),ISERROR('MH01 (2)'!B25)),"",'MH01 (2)'!B25)</f>
        <v>3</v>
      </c>
      <c r="C23" s="943" t="str">
        <f>IF(OR(ISBLANK('MH01 (2)'!C25),ISERROR('MH01 (2)'!C25)),"",'MH01 (2)'!C25)</f>
        <v>Inferencias</v>
      </c>
      <c r="D23" s="1"/>
      <c r="E23" s="1"/>
      <c r="F23" s="1"/>
      <c r="G23" s="969"/>
      <c r="H23" s="1"/>
      <c r="I23" s="1" t="str">
        <f>IF(OR(ISBLANK('MH01 (2)'!I25),ISERROR('MH01 (2)'!I25)),"",'MH01 (2)'!I25)</f>
        <v/>
      </c>
      <c r="J23" s="1" t="str">
        <f>IF(OR(ISBLANK('MH01 (2)'!J25),ISERROR('MH01 (2)'!J25)),"",'MH01 (2)'!J25)</f>
        <v/>
      </c>
      <c r="K23" s="1" t="str">
        <f>IF(OR(ISBLANK('MH01 (2)'!K25),ISERROR('MH01 (2)'!K25)),"",'MH01 (2)'!K25)</f>
        <v/>
      </c>
      <c r="L23" s="1" t="str">
        <f>IF(OR(ISBLANK('MH01 (2)'!L25),ISERROR('MH01 (2)'!L25)),"",'MH01 (2)'!L25)</f>
        <v/>
      </c>
      <c r="M23" s="966"/>
      <c r="N23" s="968"/>
      <c r="O23" s="967"/>
      <c r="P23" s="966"/>
    </row>
    <row r="24" spans="1:21" x14ac:dyDescent="0.2">
      <c r="A24" t="str">
        <f>IF(OR(ISBLANK('MH01 (2)'!A26),ISERROR('MH01 (2)'!A26)),"",'MH01 (2)'!A26)</f>
        <v/>
      </c>
      <c r="B24" s="924" t="str">
        <f>IF(OR(ISBLANK('MH01 (2)'!B26),ISERROR('MH01 (2)'!B26)),"",'MH01 (2)'!B26)</f>
        <v/>
      </c>
      <c r="C24" s="965" t="str">
        <f>IF(OR(ISBLANK('MH01 (2)'!C26),ISERROR('MH01 (2)'!C26)),"",'MH01 (2)'!C26)</f>
        <v>Validez</v>
      </c>
      <c r="D24" s="930" t="str">
        <f>IF(OR(ISBLANK('MH01 (2)'!D26),ISERROR('MH01 (2)'!D26)),"",'MH01 (2)'!D26)</f>
        <v>11+8=</v>
      </c>
      <c r="E24" s="964">
        <f>IF(OR(ISBLANK('MH01 (2)'!E26),ISERROR('MH01 (2)'!E26)),"",'MH01 (2)'!E26)</f>
        <v>19</v>
      </c>
      <c r="F24" s="793" t="str">
        <f>IF(OR(ISBLANK('MH01 (2)'!F26),ISERROR('MH01 (2)'!F26)),"",'MH01 (2)'!F26)</f>
        <v>&gt; 10 (procedimiento válido)</v>
      </c>
      <c r="G24" s="793"/>
      <c r="I24" t="str">
        <f>IF(OR(ISBLANK('MH01 (2)'!I26),ISERROR('MH01 (2)'!I26)),"",'MH01 (2)'!I26)</f>
        <v/>
      </c>
      <c r="J24" t="str">
        <f>IF(OR(ISBLANK('MH01 (2)'!J26),ISERROR('MH01 (2)'!J26)),"",'MH01 (2)'!J26)</f>
        <v/>
      </c>
      <c r="K24" t="str">
        <f>IF(OR(ISBLANK('MH01 (2)'!K26),ISERROR('MH01 (2)'!K26)),"",'MH01 (2)'!K26)</f>
        <v/>
      </c>
      <c r="L24" t="str">
        <f>IF(OR(ISBLANK('MH01 (2)'!L26),ISERROR('MH01 (2)'!L26)),"",'MH01 (2)'!L26)</f>
        <v/>
      </c>
      <c r="M24" s="934"/>
      <c r="N24" s="935"/>
      <c r="O24" s="934"/>
      <c r="P24" s="926"/>
      <c r="Q24" s="963"/>
    </row>
    <row r="25" spans="1:21" ht="15" x14ac:dyDescent="0.25">
      <c r="A25" t="str">
        <f>IF(OR(ISBLANK('MH01 (2)'!A27),ISERROR('MH01 (2)'!A27)),"",'MH01 (2)'!A27)</f>
        <v/>
      </c>
      <c r="B25" s="924" t="str">
        <f>IF(OR(ISBLANK('MH01 (2)'!B27),ISERROR('MH01 (2)'!B27)),"",'MH01 (2)'!B27)</f>
        <v/>
      </c>
      <c r="C25" s="793" t="str">
        <f>IF(OR(ISBLANK('MH01 (2)'!C27),ISERROR('MH01 (2)'!C27)),"",'MH01 (2)'!C27)</f>
        <v/>
      </c>
      <c r="D25" s="793" t="str">
        <f>IF(OR(ISBLANK('MH01 (2)'!D27),ISERROR('MH01 (2)'!D27)),"",'MH01 (2)'!D27)</f>
        <v/>
      </c>
      <c r="E25" s="793" t="str">
        <f>IF(OR(ISBLANK('MH01 (2)'!E27),ISERROR('MH01 (2)'!E27)),"",'MH01 (2)'!E27)</f>
        <v/>
      </c>
      <c r="F25" s="793" t="str">
        <f>IF(OR(ISBLANK('MH01 (2)'!F27),ISERROR('MH01 (2)'!F27)),"",'MH01 (2)'!F27)</f>
        <v/>
      </c>
      <c r="G25" s="793" t="str">
        <f>IF(OR(ISBLANK('MH01 (2)'!G27),ISERROR('MH01 (2)'!G27)),"",'MH01 (2)'!G27)</f>
        <v/>
      </c>
      <c r="H25" t="str">
        <f>IF(OR(ISBLANK('MH01 (2)'!H27),ISERROR('MH01 (2)'!H27)),"",'MH01 (2)'!H27)</f>
        <v/>
      </c>
      <c r="I25" t="str">
        <f>IF(OR(ISBLANK('MH01 (2)'!I27),ISERROR('MH01 (2)'!I27)),"",'MH01 (2)'!I27)</f>
        <v/>
      </c>
      <c r="J25" t="str">
        <f>IF(OR(ISBLANK('MH01 (2)'!J27),ISERROR('MH01 (2)'!J27)),"",'MH01 (2)'!J27)</f>
        <v/>
      </c>
      <c r="K25" t="str">
        <f>IF(OR(ISBLANK('MH01 (2)'!K27),ISERROR('MH01 (2)'!K27)),"",'MH01 (2)'!K27)</f>
        <v/>
      </c>
      <c r="L25" t="str">
        <f>IF(OR(ISBLANK('MH01 (2)'!L27),ISERROR('MH01 (2)'!L27)),"",'MH01 (2)'!L27)</f>
        <v/>
      </c>
      <c r="M25" s="961"/>
      <c r="N25" s="960"/>
      <c r="O25" s="934"/>
      <c r="P25" s="934"/>
    </row>
    <row r="26" spans="1:21" ht="15" x14ac:dyDescent="0.25">
      <c r="A26" s="942" t="str">
        <f>IF(OR(ISBLANK('MH01 (2)'!A28),ISERROR('MH01 (2)'!A28)),"",'MH01 (2)'!A28)</f>
        <v/>
      </c>
      <c r="B26" s="924" t="str">
        <f>IF(OR(ISBLANK('MH01 (2)'!B28),ISERROR('MH01 (2)'!B28)),"",'MH01 (2)'!B28)</f>
        <v/>
      </c>
      <c r="C26" s="949" t="str">
        <f>IF(OR(ISBLANK('MH01 (2)'!C28),ISERROR('MH01 (2)'!C28)),"",'MH01 (2)'!C28)</f>
        <v>Test de homogeneidad</v>
      </c>
      <c r="D26" s="952"/>
      <c r="E26" s="962" t="s">
        <v>426</v>
      </c>
      <c r="F26" s="947" t="str">
        <f>IF(OR(ISBLANK('MH01 (2)'!F28),ISERROR('MH01 (2)'!F28)),"",'MH01 (2)'!F28)</f>
        <v>Sig.</v>
      </c>
      <c r="G26" s="952" t="str">
        <f>IF(OR(ISBLANK('MH01 (2)'!G28),ISERROR('MH01 (2)'!G28)),"",'MH01 (2)'!G28)</f>
        <v/>
      </c>
      <c r="H26" s="951" t="str">
        <f>IF(OR(ISBLANK('MH01 (2)'!H28),ISERROR('MH01 (2)'!H28)),"",'MH01 (2)'!H28)</f>
        <v>cpc</v>
      </c>
      <c r="I26" t="str">
        <f>IF(OR(ISBLANK('MH01 (2)'!I28),ISERROR('MH01 (2)'!I28)),"",'MH01 (2)'!I28)</f>
        <v/>
      </c>
      <c r="J26" t="str">
        <f>IF(OR(ISBLANK('MH01 (2)'!J28),ISERROR('MH01 (2)'!J28)),"",'MH01 (2)'!J28)</f>
        <v/>
      </c>
      <c r="K26" t="str">
        <f>IF(OR(ISBLANK('MH01 (2)'!K28),ISERROR('MH01 (2)'!K28)),"",'MH01 (2)'!K28)</f>
        <v/>
      </c>
      <c r="L26" t="str">
        <f>IF(OR(ISBLANK('MH01 (2)'!L28),ISERROR('MH01 (2)'!L28)),"",'MH01 (2)'!L28)</f>
        <v/>
      </c>
      <c r="M26" s="961"/>
      <c r="N26" s="960"/>
      <c r="O26" s="926"/>
      <c r="P26" s="926"/>
      <c r="R26" s="955"/>
      <c r="S26" s="955"/>
    </row>
    <row r="27" spans="1:21" ht="15" x14ac:dyDescent="0.25">
      <c r="A27" s="942" t="str">
        <f>IF(OR(ISBLANK('MH01 (2)'!A29),ISERROR('MH01 (2)'!A29)),"",'MH01 (2)'!A29)</f>
        <v/>
      </c>
      <c r="B27" s="959" t="str">
        <f>IF(OR(ISBLANK('MH01 (2)'!B29),ISERROR('MH01 (2)'!B29)),"",'MH01 (2)'!B29)</f>
        <v/>
      </c>
      <c r="C27" s="793" t="str">
        <f>IF(OR(ISBLANK('MH01 (2)'!C29),ISERROR('MH01 (2)'!C29)),"",'MH01 (2)'!C29)</f>
        <v>Test de McNemar (con cpc)</v>
      </c>
      <c r="D27" s="793"/>
      <c r="E27" s="958">
        <f>IF(OR(ISBLANK('MH01 (2)'!E29),ISERROR('MH01 (2)'!E29)),"",'MH01 (2)'!E29)</f>
        <v>0.57353933467640439</v>
      </c>
      <c r="F27" s="957">
        <f>IF(OR(ISBLANK('MH01 (2)'!F29),ISERROR('MH01 (2)'!F29)),"",'MH01 (2)'!F29)</f>
        <v>0.56627957404532903</v>
      </c>
      <c r="G27" s="793"/>
      <c r="H27" s="956">
        <v>0.5</v>
      </c>
      <c r="I27" t="str">
        <f>IF(OR(ISBLANK('MH01 (2)'!I29),ISERROR('MH01 (2)'!I29)),"",'MH01 (2)'!I29)</f>
        <v/>
      </c>
      <c r="J27" t="str">
        <f>IF(OR(ISBLANK('MH01 (2)'!J29),ISERROR('MH01 (2)'!J29)),"",'MH01 (2)'!J29)</f>
        <v/>
      </c>
      <c r="K27" t="str">
        <f>IF(OR(ISBLANK('MH01 (2)'!K29),ISERROR('MH01 (2)'!K29)),"",'MH01 (2)'!K29)</f>
        <v/>
      </c>
      <c r="L27" t="str">
        <f>IF(OR(ISBLANK('MH01 (2)'!L29),ISERROR('MH01 (2)'!L29)),"",'MH01 (2)'!L29)</f>
        <v/>
      </c>
      <c r="M27" s="926"/>
      <c r="N27" s="934"/>
      <c r="O27" s="926"/>
      <c r="P27" s="926"/>
      <c r="S27" s="955"/>
    </row>
    <row r="28" spans="1:21" x14ac:dyDescent="0.2">
      <c r="A28" s="942" t="str">
        <f>IF(OR(ISBLANK('MH01 (2)'!A30),ISERROR('MH01 (2)'!A30)),"",'MH01 (2)'!A30)</f>
        <v/>
      </c>
      <c r="B28" s="924" t="str">
        <f>IF(OR(ISBLANK('MH01 (2)'!B30),ISERROR('MH01 (2)'!B30)),"",'MH01 (2)'!B30)</f>
        <v/>
      </c>
      <c r="C28" s="952" t="str">
        <f>IF(OR(ISBLANK('MH01 (2)'!C30),ISERROR('MH01 (2)'!C30)),"",'MH01 (2)'!C30)</f>
        <v>Test de McNemar (sin cpc)</v>
      </c>
      <c r="D28" s="952"/>
      <c r="E28" s="954">
        <f>IF(OR(ISBLANK('MH01 (2)'!E30),ISERROR('MH01 (2)'!E30)),"",'MH01 (2)'!E30)</f>
        <v>0.68824720161168518</v>
      </c>
      <c r="F28" s="953">
        <f>IF(OR(ISBLANK('MH01 (2)'!F30),ISERROR('MH01 (2)'!F30)),"",'MH01 (2)'!F30)</f>
        <v>0.491297124215893</v>
      </c>
      <c r="G28" s="952"/>
      <c r="H28" s="951" t="str">
        <f>IF(OR(ISBLANK('MH01 (2)'!H30),ISERROR('MH01 (2)'!H30)),"",'MH01 (2)'!H30)</f>
        <v/>
      </c>
      <c r="I28" t="str">
        <f>IF(OR(ISBLANK('MH01 (2)'!I30),ISERROR('MH01 (2)'!I30)),"",'MH01 (2)'!I30)</f>
        <v/>
      </c>
      <c r="J28" t="str">
        <f>IF(OR(ISBLANK('MH01 (2)'!J30),ISERROR('MH01 (2)'!J30)),"",'MH01 (2)'!J30)</f>
        <v/>
      </c>
      <c r="K28" t="str">
        <f>IF(OR(ISBLANK('MH01 (2)'!K30),ISERROR('MH01 (2)'!K30)),"",'MH01 (2)'!K30)</f>
        <v/>
      </c>
      <c r="L28" t="str">
        <f>IF(OR(ISBLANK('MH01 (2)'!L30),ISERROR('MH01 (2)'!L30)),"",'MH01 (2)'!L30)</f>
        <v/>
      </c>
      <c r="M28" s="934"/>
      <c r="N28" s="926"/>
      <c r="O28" s="950"/>
      <c r="P28" s="929"/>
      <c r="Q28" s="933"/>
      <c r="R28" s="933"/>
      <c r="S28" s="945"/>
    </row>
    <row r="29" spans="1:21" x14ac:dyDescent="0.2">
      <c r="A29" t="str">
        <f>IF(OR(ISBLANK('MH01 (2)'!A31),ISERROR('MH01 (2)'!A31)),"",'MH01 (2)'!A31)</f>
        <v/>
      </c>
      <c r="B29" s="924" t="str">
        <f>IF(OR(ISBLANK('MH01 (2)'!B31),ISERROR('MH01 (2)'!B31)),"",'MH01 (2)'!B31)</f>
        <v/>
      </c>
      <c r="C29" s="793" t="str">
        <f>IF(OR(ISBLANK('MH01 (2)'!C31),ISERROR('MH01 (2)'!C31)),"",'MH01 (2)'!C31)</f>
        <v/>
      </c>
      <c r="D29" s="793" t="str">
        <f>IF(OR(ISBLANK('MH01 (2)'!D31),ISERROR('MH01 (2)'!D31)),"",'MH01 (2)'!D31)</f>
        <v/>
      </c>
      <c r="E29" s="793" t="str">
        <f>IF(OR(ISBLANK('MH01 (2)'!E31),ISERROR('MH01 (2)'!E31)),"",'MH01 (2)'!E31)</f>
        <v/>
      </c>
      <c r="F29" s="793" t="str">
        <f>IF(OR(ISBLANK('MH01 (2)'!F31),ISERROR('MH01 (2)'!F31)),"",'MH01 (2)'!F31)</f>
        <v/>
      </c>
      <c r="G29" s="793" t="str">
        <f>IF(OR(ISBLANK('MH01 (2)'!G31),ISERROR('MH01 (2)'!G31)),"",'MH01 (2)'!G31)</f>
        <v/>
      </c>
      <c r="H29" t="str">
        <f>IF(OR(ISBLANK('MH01 (2)'!H31),ISERROR('MH01 (2)'!H31)),"",'MH01 (2)'!H31)</f>
        <v/>
      </c>
      <c r="I29" t="str">
        <f>IF(OR(ISBLANK('MH01 (2)'!I31),ISERROR('MH01 (2)'!I31)),"",'MH01 (2)'!I31)</f>
        <v/>
      </c>
      <c r="J29" t="str">
        <f>IF(OR(ISBLANK('MH01 (2)'!J31),ISERROR('MH01 (2)'!J31)),"",'MH01 (2)'!J31)</f>
        <v/>
      </c>
      <c r="K29" t="str">
        <f>IF(OR(ISBLANK('MH01 (2)'!K31),ISERROR('MH01 (2)'!K31)),"",'MH01 (2)'!K31)</f>
        <v/>
      </c>
      <c r="L29" t="str">
        <f>IF(OR(ISBLANK('MH01 (2)'!L31),ISERROR('MH01 (2)'!L31)),"",'MH01 (2)'!L31)</f>
        <v/>
      </c>
      <c r="M29" s="926"/>
      <c r="N29" s="926"/>
      <c r="O29" s="926"/>
      <c r="P29" s="926"/>
      <c r="S29" s="945"/>
    </row>
    <row r="30" spans="1:21" x14ac:dyDescent="0.2">
      <c r="A30" s="1317" t="str">
        <f>IF(OR(ISBLANK('MH01 (2)'!A32),ISERROR('MH01 (2)'!A32)),"",'MH01 (2)'!A32)</f>
        <v/>
      </c>
      <c r="B30" s="924" t="str">
        <f>IF(OR(ISBLANK('MH01 (2)'!B32),ISERROR('MH01 (2)'!B32)),"",'MH01 (2)'!B32)</f>
        <v/>
      </c>
      <c r="C30" s="934" t="s">
        <v>466</v>
      </c>
      <c r="D30" s="926"/>
      <c r="E30" s="926" t="str">
        <f>IF(OR(ISBLANK('MH01 (2)'!E32),ISERROR('MH01 (2)'!E32)),"",'MH01 (2)'!E32)</f>
        <v/>
      </c>
      <c r="F30" s="1318" t="str">
        <f>IF(OR(ISBLANK('MH01 (2)'!F32),ISERROR('MH01 (2)'!F32)),"",'MH01 (2)'!F32)</f>
        <v>IC( 95%)</v>
      </c>
      <c r="G30" s="1318" t="str">
        <f>IF(OR(ISBLANK('MH01 (2)'!G32),ISERROR('MH01 (2)'!G32)),"",'MH01 (2)'!G32)</f>
        <v/>
      </c>
      <c r="H30" t="str">
        <f>IF(OR(ISBLANK('MH01 (2)'!H32),ISERROR('MH01 (2)'!H32)),"",'MH01 (2)'!H32)</f>
        <v/>
      </c>
      <c r="I30" t="str">
        <f>IF(OR(ISBLANK('MH01 (2)'!I32),ISERROR('MH01 (2)'!I32)),"",'MH01 (2)'!I32)</f>
        <v/>
      </c>
      <c r="J30" t="str">
        <f>IF(OR(ISBLANK('MH01 (2)'!J32),ISERROR('MH01 (2)'!J32)),"",'MH01 (2)'!J32)</f>
        <v/>
      </c>
      <c r="K30" t="str">
        <f>IF(OR(ISBLANK('MH01 (2)'!K32),ISERROR('MH01 (2)'!K32)),"",'MH01 (2)'!K32)</f>
        <v/>
      </c>
      <c r="L30" t="str">
        <f>IF(OR(ISBLANK('MH01 (2)'!L32),ISERROR('MH01 (2)'!L32)),"",'MH01 (2)'!L32)</f>
        <v/>
      </c>
      <c r="M30" s="926"/>
      <c r="N30" s="926"/>
      <c r="O30" s="926"/>
      <c r="P30" s="926"/>
      <c r="R30" s="933"/>
      <c r="S30" s="945"/>
    </row>
    <row r="31" spans="1:21" x14ac:dyDescent="0.2">
      <c r="A31" s="1317" t="str">
        <f>IF(OR(ISBLANK('MH01 (2)'!A33),ISERROR('MH01 (2)'!A33)),"",'MH01 (2)'!A33)</f>
        <v/>
      </c>
      <c r="B31" s="924" t="str">
        <f>IF(OR(ISBLANK('MH01 (2)'!B33),ISERROR('MH01 (2)'!B33)),"",'MH01 (2)'!B33)</f>
        <v/>
      </c>
      <c r="C31" s="949" t="str">
        <f>IF(OR(ISBLANK('MH01 (2)'!C33),ISERROR('MH01 (2)'!C33)),"",'MH01 (2)'!C33)</f>
        <v>Estimación</v>
      </c>
      <c r="D31" s="947" t="str">
        <f>IF(OR(ISBLANK('MH01 (2)'!D33),ISERROR('MH01 (2)'!D33)),"",'MH01 (2)'!D33)</f>
        <v>Diferencia</v>
      </c>
      <c r="E31" s="947" t="str">
        <f>IF(OR(ISBLANK('MH01 (2)'!E33),ISERROR('MH01 (2)'!E33)),"",'MH01 (2)'!E33)</f>
        <v>Precisión</v>
      </c>
      <c r="F31" s="948" t="str">
        <f>IF(OR(ISBLANK('MH01 (2)'!F33),ISERROR('MH01 (2)'!F33)),"",'MH01 (2)'!F33)</f>
        <v>Lim inf</v>
      </c>
      <c r="G31" s="947" t="str">
        <f>IF(OR(ISBLANK('MH01 (2)'!G33),ISERROR('MH01 (2)'!G33)),"",'MH01 (2)'!G33)</f>
        <v>Lim sup</v>
      </c>
      <c r="H31" t="str">
        <f>IF(OR(ISBLANK('MH01 (2)'!H33),ISERROR('MH01 (2)'!H33)),"",'MH01 (2)'!H33)</f>
        <v/>
      </c>
      <c r="I31" t="str">
        <f>IF(OR(ISBLANK('MH01 (2)'!I33),ISERROR('MH01 (2)'!I33)),"",'MH01 (2)'!I33)</f>
        <v/>
      </c>
      <c r="J31" t="str">
        <f>IF(OR(ISBLANK('MH01 (2)'!J33),ISERROR('MH01 (2)'!J33)),"",'MH01 (2)'!J33)</f>
        <v/>
      </c>
      <c r="K31" t="str">
        <f>IF(OR(ISBLANK('MH01 (2)'!K33),ISERROR('MH01 (2)'!K33)),"",'MH01 (2)'!K33)</f>
        <v/>
      </c>
      <c r="L31" t="str">
        <f>IF(OR(ISBLANK('MH01 (2)'!L33),ISERROR('MH01 (2)'!L33)),"",'MH01 (2)'!L33)</f>
        <v/>
      </c>
      <c r="R31" s="945"/>
      <c r="S31" s="945"/>
    </row>
    <row r="32" spans="1:21" x14ac:dyDescent="0.2">
      <c r="A32" t="str">
        <f>IF(OR(ISBLANK('MH01 (2)'!A34),ISERROR('MH01 (2)'!A34)),"",'MH01 (2)'!A34)</f>
        <v/>
      </c>
      <c r="B32" s="924" t="str">
        <f>IF(OR(ISBLANK('MH01 (2)'!B34),ISERROR('MH01 (2)'!B34)),"",'MH01 (2)'!B34)</f>
        <v/>
      </c>
      <c r="C32" s="946" t="str">
        <f>IF(OR(ISBLANK('MH01 (2)'!C34),ISERROR('MH01 (2)'!C34)),"",'MH01 (2)'!C34)</f>
        <v>Wald</v>
      </c>
      <c r="D32" s="696">
        <f>IF(OR(ISBLANK('MH01 (2)'!D34),ISERROR('MH01 (2)'!D34)),"",'MH01 (2)'!D34)</f>
        <v>4.2857142857142858E-2</v>
      </c>
      <c r="E32" s="696">
        <f>IF(OR(ISBLANK('MH01 (2)'!E34),ISERROR('MH01 (2)'!E34)),"",'MH01 (2)'!E34)</f>
        <v>0.12877614318928321</v>
      </c>
      <c r="F32" s="696">
        <f>IF(OR(ISBLANK('MH01 (2)'!F34),ISERROR('MH01 (2)'!F34)),"",'MH01 (2)'!F34)</f>
        <v>-8.5919000332140352E-2</v>
      </c>
      <c r="G32" s="696">
        <f>IF(OR(ISBLANK('MH01 (2)'!G34),ISERROR('MH01 (2)'!G34)),"",'MH01 (2)'!G34)</f>
        <v>0.17163328604642608</v>
      </c>
      <c r="H32" t="str">
        <f>IF(OR(ISBLANK('MH01 (2)'!H34),ISERROR('MH01 (2)'!H34)),"",'MH01 (2)'!H34)</f>
        <v/>
      </c>
      <c r="I32" t="str">
        <f>IF(OR(ISBLANK('MH01 (2)'!I34),ISERROR('MH01 (2)'!I34)),"",'MH01 (2)'!I34)</f>
        <v/>
      </c>
      <c r="J32" t="str">
        <f>IF(OR(ISBLANK('MH01 (2)'!J34),ISERROR('MH01 (2)'!J34)),"",'MH01 (2)'!J34)</f>
        <v/>
      </c>
      <c r="K32" t="str">
        <f>IF(OR(ISBLANK('MH01 (2)'!K34),ISERROR('MH01 (2)'!K34)),"",'MH01 (2)'!K34)</f>
        <v/>
      </c>
      <c r="L32" t="str">
        <f>IF(OR(ISBLANK('MH01 (2)'!L34),ISERROR('MH01 (2)'!L34)),"",'MH01 (2)'!L34)</f>
        <v/>
      </c>
      <c r="R32" s="945"/>
      <c r="S32" s="945"/>
    </row>
    <row r="33" spans="1:19" x14ac:dyDescent="0.2">
      <c r="C33" s="946" t="str">
        <f>IF(OR(ISBLANK('MH01 (2)'!C35),ISERROR('MH01 (2)'!C35)),"",'MH01 (2)'!C35)</f>
        <v>Agresti-Min</v>
      </c>
      <c r="D33" s="696">
        <f>IF(OR(ISBLANK('MH01 (2)'!D35),ISERROR('MH01 (2)'!D35)),"",'MH01 (2)'!D35)</f>
        <v>4.1666666666666664E-2</v>
      </c>
      <c r="E33" s="696">
        <f>IF(OR(ISBLANK('MH01 (2)'!E35),ISERROR('MH01 (2)'!E35)),"",'MH01 (2)'!E35)</f>
        <v>0.12135821032151593</v>
      </c>
      <c r="F33" s="696">
        <f>IF(OR(ISBLANK('MH01 (2)'!F35),ISERROR('MH01 (2)'!F35)),"",'MH01 (2)'!F35)</f>
        <v>-7.9691543654849262E-2</v>
      </c>
      <c r="G33" s="696">
        <f>IF(OR(ISBLANK('MH01 (2)'!G35),ISERROR('MH01 (2)'!G35)),"",'MH01 (2)'!G35)</f>
        <v>0.1630248769881826</v>
      </c>
      <c r="R33" s="945"/>
      <c r="S33" s="945"/>
    </row>
    <row r="34" spans="1:19" x14ac:dyDescent="0.2">
      <c r="C34" s="929"/>
      <c r="D34" s="698"/>
      <c r="E34" s="698"/>
      <c r="F34" s="698"/>
      <c r="G34" s="698"/>
      <c r="R34" s="945"/>
      <c r="S34" s="945"/>
    </row>
    <row r="35" spans="1:19" x14ac:dyDescent="0.2">
      <c r="C35" s="929"/>
      <c r="D35" s="698"/>
      <c r="E35" s="698"/>
      <c r="F35" s="698"/>
      <c r="G35" s="698"/>
      <c r="R35" s="945"/>
      <c r="S35" s="945"/>
    </row>
    <row r="36" spans="1:19" x14ac:dyDescent="0.2">
      <c r="A36" s="942" t="str">
        <f>IF(OR(ISBLANK('MH01 (2)'!A37),ISERROR('MH01 (2)'!A37)),"",'MH01 (2)'!A37)</f>
        <v/>
      </c>
      <c r="B36" s="924" t="str">
        <f>IF(OR(ISBLANK('MH01 (2)'!B37),ISERROR('MH01 (2)'!B37)),"",'MH01 (2)'!B37)</f>
        <v/>
      </c>
      <c r="C36" s="926" t="str">
        <f>IF(OR(ISBLANK('MH01 (2)'!C37),ISERROR('MH01 (2)'!C37)),"",'MH01 (2)'!C37)</f>
        <v/>
      </c>
      <c r="D36" s="926" t="str">
        <f>IF(OR(ISBLANK('MH01 (2)'!D37),ISERROR('MH01 (2)'!D37)),"",'MH01 (2)'!D37)</f>
        <v/>
      </c>
      <c r="E36" s="926" t="str">
        <f>IF(OR(ISBLANK('MH01 (2)'!E37),ISERROR('MH01 (2)'!E37)),"",'MH01 (2)'!E37)</f>
        <v/>
      </c>
      <c r="F36" s="926" t="str">
        <f>IF(OR(ISBLANK('MH01 (2)'!F37),ISERROR('MH01 (2)'!F37)),"",'MH01 (2)'!F37)</f>
        <v/>
      </c>
      <c r="G36" s="926" t="str">
        <f>IF(OR(ISBLANK('MH01 (2)'!G37),ISERROR('MH01 (2)'!G37)),"",'MH01 (2)'!G37)</f>
        <v/>
      </c>
      <c r="H36" s="926" t="str">
        <f>IF(OR(ISBLANK('MH01 (2)'!H37),ISERROR('MH01 (2)'!H37)),"",'MH01 (2)'!H37)</f>
        <v/>
      </c>
      <c r="I36" s="928" t="str">
        <f>IF(OR(ISBLANK('MH01 (2)'!I37),ISERROR('MH01 (2)'!I37)),"",'MH01 (2)'!I37)</f>
        <v/>
      </c>
      <c r="J36" s="934" t="str">
        <f>IF(OR(ISBLANK('MH01 (2)'!J37),ISERROR('MH01 (2)'!J37)),"",'MH01 (2)'!J37)</f>
        <v/>
      </c>
      <c r="K36" s="926" t="str">
        <f>IF(OR(ISBLANK('MH01 (2)'!K37),ISERROR('MH01 (2)'!K37)),"",'MH01 (2)'!K37)</f>
        <v/>
      </c>
      <c r="L36" t="str">
        <f>IF(OR(ISBLANK('MH01 (2)'!L37),ISERROR('MH01 (2)'!L37)),"",'MH01 (2)'!L37)</f>
        <v/>
      </c>
      <c r="R36" s="945"/>
      <c r="S36" s="945"/>
    </row>
    <row r="37" spans="1:19" ht="13.5" thickBot="1" x14ac:dyDescent="0.25">
      <c r="A37" s="942" t="str">
        <f>IF(OR(ISBLANK('MH01 (2)'!A38),ISERROR('MH01 (2)'!A38)),"",'MH01 (2)'!A38)</f>
        <v/>
      </c>
      <c r="B37" s="920">
        <f>IF(OR(ISBLANK('MH01 (2)'!B38),ISERROR('MH01 (2)'!B38)),"",'MH01 (2)'!B38)</f>
        <v>4</v>
      </c>
      <c r="C37" s="943" t="str">
        <f>IF(OR(ISBLANK('MH01 (2)'!C38),ISERROR('MH01 (2)'!C38)),"",'MH01 (2)'!C38)</f>
        <v>Tamaño de muestra para el test de McNemar (sin muestra piloto)</v>
      </c>
      <c r="D37" s="1"/>
      <c r="E37" s="1"/>
      <c r="F37" s="1"/>
      <c r="G37" s="1"/>
      <c r="H37" s="1"/>
      <c r="I37" s="944" t="str">
        <f>IF(OR(ISBLANK('MH01 (2)'!I38),ISERROR('MH01 (2)'!I38)),"",'MH01 (2)'!I38)</f>
        <v/>
      </c>
      <c r="J37" s="943" t="str">
        <f>IF(OR(ISBLANK('MH01 (2)'!J38),ISERROR('MH01 (2)'!J38)),"",'MH01 (2)'!J38)</f>
        <v/>
      </c>
      <c r="K37" s="1" t="str">
        <f>IF(OR(ISBLANK('MH01 (2)'!K38),ISERROR('MH01 (2)'!K38)),"",'MH01 (2)'!K38)</f>
        <v/>
      </c>
      <c r="L37" s="1" t="str">
        <f>IF(OR(ISBLANK('MH01 (2)'!L38),ISERROR('MH01 (2)'!L38)),"",'MH01 (2)'!L38)</f>
        <v/>
      </c>
    </row>
    <row r="38" spans="1:19" x14ac:dyDescent="0.2">
      <c r="A38" s="942" t="str">
        <f>IF(OR(ISBLANK('MH01 (2)'!A39),ISERROR('MH01 (2)'!A39)),"",'MH01 (2)'!A39)</f>
        <v/>
      </c>
      <c r="B38" s="924" t="str">
        <f>IF(OR(ISBLANK('MH01 (2)'!B39),ISERROR('MH01 (2)'!B39)),"",'MH01 (2)'!B39)</f>
        <v/>
      </c>
      <c r="C38" t="str">
        <f>IF(OR(ISBLANK('MH01 (2)'!C39),ISERROR('MH01 (2)'!C39)),"",'MH01 (2)'!C39)</f>
        <v/>
      </c>
      <c r="D38" t="str">
        <f>IF(OR(ISBLANK('MH01 (2)'!D39),ISERROR('MH01 (2)'!D39)),"",'MH01 (2)'!D39)</f>
        <v/>
      </c>
      <c r="E38" t="str">
        <f>IF(OR(ISBLANK('MH01 (2)'!E39),ISERROR('MH01 (2)'!E39)),"",'MH01 (2)'!E39)</f>
        <v/>
      </c>
      <c r="F38" t="str">
        <f>IF(OR(ISBLANK('MH01 (2)'!F39),ISERROR('MH01 (2)'!F39)),"",'MH01 (2)'!F39)</f>
        <v/>
      </c>
      <c r="G38" t="str">
        <f>IF(OR(ISBLANK('MH01 (2)'!G39),ISERROR('MH01 (2)'!G39)),"",'MH01 (2)'!G39)</f>
        <v/>
      </c>
      <c r="H38" t="str">
        <f>IF(OR(ISBLANK('MH01 (2)'!H39),ISERROR('MH01 (2)'!H39)),"",'MH01 (2)'!H39)</f>
        <v/>
      </c>
      <c r="I38" s="933" t="str">
        <f>IF(OR(ISBLANK('MH01 (2)'!I39),ISERROR('MH01 (2)'!I39)),"",'MH01 (2)'!I39)</f>
        <v/>
      </c>
      <c r="J38" s="458" t="str">
        <f>IF(OR(ISBLANK('MH01 (2)'!J39),ISERROR('MH01 (2)'!J39)),"",'MH01 (2)'!J39)</f>
        <v/>
      </c>
      <c r="K38" t="str">
        <f>IF(OR(ISBLANK('MH01 (2)'!K39),ISERROR('MH01 (2)'!K39)),"",'MH01 (2)'!K39)</f>
        <v/>
      </c>
      <c r="L38" t="str">
        <f>IF(OR(ISBLANK('MH01 (2)'!L39),ISERROR('MH01 (2)'!L39)),"",'MH01 (2)'!L39)</f>
        <v/>
      </c>
    </row>
    <row r="39" spans="1:19" ht="15.75" x14ac:dyDescent="0.25">
      <c r="A39" s="942" t="str">
        <f>IF(OR(ISBLANK('MH01 (2)'!A40),ISERROR('MH01 (2)'!A40)),"",'MH01 (2)'!A40)</f>
        <v/>
      </c>
      <c r="B39" s="924" t="str">
        <f>IF(OR(ISBLANK('MH01 (2)'!B40),ISERROR('MH01 (2)'!B40)),"",'MH01 (2)'!B40)</f>
        <v/>
      </c>
      <c r="C39" s="937" t="str">
        <f>IF(OR(ISBLANK('MH01 (2)'!C40),ISERROR('MH01 (2)'!C40)),"",'MH01 (2)'!C40)</f>
        <v>a=</v>
      </c>
      <c r="D39" s="936">
        <v>0.05</v>
      </c>
      <c r="E39" s="940"/>
      <c r="F39" s="939"/>
      <c r="G39" t="str">
        <f>IF(OR(ISBLANK('MH01 (2)'!G40),ISERROR('MH01 (2)'!G40)),"",'MH01 (2)'!G40)</f>
        <v/>
      </c>
      <c r="H39" t="str">
        <f>IF(OR(ISBLANK('MH01 (2)'!H40),ISERROR('MH01 (2)'!H40)),"",'MH01 (2)'!H40)</f>
        <v/>
      </c>
      <c r="I39" s="941" t="str">
        <f>IF(OR(ISBLANK('MH01 (2)'!I40),ISERROR('MH01 (2)'!I40)),"",'MH01 (2)'!I40)</f>
        <v/>
      </c>
      <c r="J39" s="458" t="str">
        <f>IF(OR(ISBLANK('MH01 (2)'!J40),ISERROR('MH01 (2)'!J40)),"",'MH01 (2)'!J40)</f>
        <v/>
      </c>
      <c r="K39" t="str">
        <f>IF(OR(ISBLANK('MH01 (2)'!K40),ISERROR('MH01 (2)'!K40)),"",'MH01 (2)'!K40)</f>
        <v/>
      </c>
      <c r="L39" t="str">
        <f>IF(OR(ISBLANK('MH01 (2)'!L40),ISERROR('MH01 (2)'!L40)),"",'MH01 (2)'!L40)</f>
        <v/>
      </c>
    </row>
    <row r="40" spans="1:19" s="926" customFormat="1" ht="15.75" x14ac:dyDescent="0.25">
      <c r="A40" s="938" t="str">
        <f>IF(OR(ISBLANK('MH01 (2)'!A41),ISERROR('MH01 (2)'!A41)),"",'MH01 (2)'!A41)</f>
        <v/>
      </c>
      <c r="B40" s="925" t="str">
        <f>IF(OR(ISBLANK('MH01 (2)'!B41),ISERROR('MH01 (2)'!B41)),"",'MH01 (2)'!B41)</f>
        <v/>
      </c>
      <c r="C40" s="937" t="str">
        <f>IF(OR(ISBLANK('MH01 (2)'!C41),ISERROR('MH01 (2)'!C41)),"",'MH01 (2)'!C41)</f>
        <v>1-b=</v>
      </c>
      <c r="D40" s="936">
        <v>0.8</v>
      </c>
      <c r="E40" s="940"/>
      <c r="F40" s="939"/>
      <c r="G40" s="926" t="str">
        <f>IF(OR(ISBLANK('MH01 (2)'!G41),ISERROR('MH01 (2)'!G41)),"",'MH01 (2)'!G41)</f>
        <v/>
      </c>
      <c r="H40" s="926" t="str">
        <f>IF(OR(ISBLANK('MH01 (2)'!H41),ISERROR('MH01 (2)'!H41)),"",'MH01 (2)'!H41)</f>
        <v/>
      </c>
      <c r="I40" s="1319" t="str">
        <f>IF(OR(ISBLANK('MH01 (2)'!I41),ISERROR('MH01 (2)'!I41)),"",'MH01 (2)'!I41)</f>
        <v/>
      </c>
      <c r="J40" s="1319" t="str">
        <f>IF(OR(ISBLANK('MH01 (2)'!J41),ISERROR('MH01 (2)'!J41)),"",'MH01 (2)'!J41)</f>
        <v/>
      </c>
      <c r="K40" s="926" t="str">
        <f>IF(OR(ISBLANK('MH01 (2)'!K41),ISERROR('MH01 (2)'!K41)),"",'MH01 (2)'!K41)</f>
        <v/>
      </c>
      <c r="L40" s="926" t="str">
        <f>IF(OR(ISBLANK('MH01 (2)'!L41),ISERROR('MH01 (2)'!L41)),"",'MH01 (2)'!L41)</f>
        <v/>
      </c>
    </row>
    <row r="41" spans="1:19" s="926" customFormat="1" x14ac:dyDescent="0.2">
      <c r="A41" s="938" t="str">
        <f>IF(OR(ISBLANK('MH01 (2)'!A42),ISERROR('MH01 (2)'!A42)),"",'MH01 (2)'!A42)</f>
        <v/>
      </c>
      <c r="B41" s="925" t="str">
        <f>IF(OR(ISBLANK('MH01 (2)'!B42),ISERROR('MH01 (2)'!B42)),"",'MH01 (2)'!B42)</f>
        <v/>
      </c>
      <c r="C41" s="937" t="str">
        <f>IF(OR(ISBLANK('MH01 (2)'!C42),ISERROR('MH01 (2)'!C42)),"",'MH01 (2)'!C42)</f>
        <v>d=</v>
      </c>
      <c r="D41" s="936">
        <v>0.1</v>
      </c>
      <c r="E41" s="793"/>
      <c r="F41" s="933"/>
      <c r="G41" s="926" t="str">
        <f>IF(OR(ISBLANK('MH01 (2)'!G42),ISERROR('MH01 (2)'!G42)),"",'MH01 (2)'!G42)</f>
        <v/>
      </c>
      <c r="H41" s="926" t="str">
        <f>IF(OR(ISBLANK('MH01 (2)'!H42),ISERROR('MH01 (2)'!H42)),"",'MH01 (2)'!H42)</f>
        <v/>
      </c>
      <c r="I41" s="935" t="str">
        <f>IF(OR(ISBLANK('MH01 (2)'!I42),ISERROR('MH01 (2)'!I42)),"",'MH01 (2)'!I42)</f>
        <v/>
      </c>
      <c r="J41" s="934" t="str">
        <f>IF(OR(ISBLANK('MH01 (2)'!J42),ISERROR('MH01 (2)'!J42)),"",'MH01 (2)'!J42)</f>
        <v/>
      </c>
      <c r="K41" s="926" t="str">
        <f>IF(OR(ISBLANK('MH01 (2)'!K42),ISERROR('MH01 (2)'!K42)),"",'MH01 (2)'!K42)</f>
        <v/>
      </c>
      <c r="L41" s="926" t="str">
        <f>IF(OR(ISBLANK('MH01 (2)'!L42),ISERROR('MH01 (2)'!L42)),"",'MH01 (2)'!L42)</f>
        <v/>
      </c>
    </row>
    <row r="42" spans="1:19" s="926" customFormat="1" x14ac:dyDescent="0.2">
      <c r="A42" s="926" t="str">
        <f>IF(OR(ISBLANK('MH01 (2)'!A43),ISERROR('MH01 (2)'!A43)),"",'MH01 (2)'!A43)</f>
        <v/>
      </c>
      <c r="B42" s="925" t="str">
        <f>IF(OR(ISBLANK('MH01 (2)'!B43),ISERROR('MH01 (2)'!B43)),"",'MH01 (2)'!B43)</f>
        <v/>
      </c>
      <c r="C42" s="933" t="str">
        <f>IF(OR(ISBLANK('MH01 (2)'!C43),ISERROR('MH01 (2)'!C43)),"",'MH01 (2)'!C43)</f>
        <v>n=</v>
      </c>
      <c r="D42" s="932" t="str">
        <f>IF(OR(ISBLANK('MH01 (2)'!D43),ISERROR('MH01 (2)'!D43)),"",'MH01 (2)'!D43)</f>
        <v>783  casos</v>
      </c>
      <c r="E42" s="926" t="str">
        <f>IF(OR(ISBLANK('MH01 (2)'!E43),ISERROR('MH01 (2)'!E43)),"",'MH01 (2)'!E43)</f>
        <v/>
      </c>
      <c r="F42" s="931"/>
      <c r="G42" s="926" t="str">
        <f>IF(OR(ISBLANK('MH01 (2)'!G43),ISERROR('MH01 (2)'!G43)),"",'MH01 (2)'!G43)</f>
        <v/>
      </c>
      <c r="H42" s="926" t="str">
        <f>IF(OR(ISBLANK('MH01 (2)'!H43),ISERROR('MH01 (2)'!H43)),"",'MH01 (2)'!H43)</f>
        <v/>
      </c>
      <c r="I42" s="926" t="str">
        <f>IF(OR(ISBLANK('MH01 (2)'!I43),ISERROR('MH01 (2)'!I43)),"",'MH01 (2)'!I43)</f>
        <v/>
      </c>
      <c r="J42" s="926" t="str">
        <f>IF(OR(ISBLANK('MH01 (2)'!J43),ISERROR('MH01 (2)'!J43)),"",'MH01 (2)'!J43)</f>
        <v/>
      </c>
      <c r="K42" s="926" t="str">
        <f>IF(OR(ISBLANK('MH01 (2)'!K43),ISERROR('MH01 (2)'!K43)),"",'MH01 (2)'!K43)</f>
        <v/>
      </c>
      <c r="L42" s="926" t="str">
        <f>IF(OR(ISBLANK('MH01 (2)'!L43),ISERROR('MH01 (2)'!L43)),"",'MH01 (2)'!L43)</f>
        <v/>
      </c>
    </row>
    <row r="43" spans="1:19" s="926" customFormat="1" x14ac:dyDescent="0.2">
      <c r="A43" s="926" t="str">
        <f>IF(OR(ISBLANK('MH01 (2)'!A44),ISERROR('MH01 (2)'!A44)),"",'MH01 (2)'!A44)</f>
        <v/>
      </c>
      <c r="B43" s="925" t="str">
        <f>IF(OR(ISBLANK('MH01 (2)'!B44),ISERROR('MH01 (2)'!B44)),"",'MH01 (2)'!B44)</f>
        <v/>
      </c>
      <c r="C43" s="930" t="str">
        <f>IF(OR(ISBLANK('MH01 (2)'!C44),ISERROR('MH01 (2)'!C44)),"",'MH01 (2)'!C44)</f>
        <v/>
      </c>
      <c r="D43" s="926" t="str">
        <f>IF(OR(ISBLANK('MH01 (2)'!D44),ISERROR('MH01 (2)'!D44)),"",'MH01 (2)'!D44)</f>
        <v/>
      </c>
      <c r="E43" s="929" t="str">
        <f>IF(OR(ISBLANK('MH01 (2)'!E44),ISERROR('MH01 (2)'!E44)),"",'MH01 (2)'!E44)</f>
        <v/>
      </c>
      <c r="F43" s="928" t="str">
        <f>IF(OR(ISBLANK('MH01 (2)'!F44),ISERROR('MH01 (2)'!F44)),"",'MH01 (2)'!F44)</f>
        <v/>
      </c>
      <c r="G43" s="926" t="str">
        <f>IF(OR(ISBLANK('MH01 (2)'!G44),ISERROR('MH01 (2)'!G44)),"",'MH01 (2)'!G44)</f>
        <v/>
      </c>
      <c r="H43" s="926" t="str">
        <f>IF(OR(ISBLANK('MH01 (2)'!H44),ISERROR('MH01 (2)'!H44)),"",'MH01 (2)'!H44)</f>
        <v/>
      </c>
      <c r="I43" s="926" t="str">
        <f>IF(OR(ISBLANK('MH01 (2)'!I44),ISERROR('MH01 (2)'!I44)),"",'MH01 (2)'!I44)</f>
        <v/>
      </c>
      <c r="J43" s="926" t="str">
        <f>IF(OR(ISBLANK('MH01 (2)'!J44),ISERROR('MH01 (2)'!J44)),"",'MH01 (2)'!J44)</f>
        <v/>
      </c>
      <c r="K43" s="926" t="str">
        <f>IF(OR(ISBLANK('MH01 (2)'!K44),ISERROR('MH01 (2)'!K44)),"",'MH01 (2)'!K44)</f>
        <v/>
      </c>
      <c r="L43" s="926" t="str">
        <f>IF(OR(ISBLANK('MH01 (2)'!L44),ISERROR('MH01 (2)'!L44)),"",'MH01 (2)'!L44)</f>
        <v/>
      </c>
    </row>
    <row r="44" spans="1:19" x14ac:dyDescent="0.2">
      <c r="A44" s="926" t="str">
        <f>IF(OR(ISBLANK('MH01 (2)'!A51),ISERROR('MH01 (2)'!A51)),"",'MH01 (2)'!A51)</f>
        <v/>
      </c>
      <c r="B44" s="925" t="str">
        <f>IF(OR(ISBLANK('MH01 (2)'!B51),ISERROR('MH01 (2)'!B51)),"",'MH01 (2)'!B51)</f>
        <v/>
      </c>
      <c r="C44" t="str">
        <f>IF(OR(ISBLANK('MH01 (2)'!C51),ISERROR('MH01 (2)'!C51)),"",'MH01 (2)'!C51)</f>
        <v/>
      </c>
      <c r="D44" t="str">
        <f>IF(OR(ISBLANK('MH01 (2)'!D51),ISERROR('MH01 (2)'!D51)),"",'MH01 (2)'!D51)</f>
        <v/>
      </c>
      <c r="E44" t="str">
        <f>IF(OR(ISBLANK('MH01 (2)'!E51),ISERROR('MH01 (2)'!E51)),"",'MH01 (2)'!E51)</f>
        <v/>
      </c>
      <c r="F44" t="str">
        <f>IF(OR(ISBLANK('MH01 (2)'!F51),ISERROR('MH01 (2)'!F51)),"",'MH01 (2)'!F51)</f>
        <v/>
      </c>
      <c r="G44" t="str">
        <f>IF(OR(ISBLANK('MH01 (2)'!G51),ISERROR('MH01 (2)'!G51)),"",'MH01 (2)'!G51)</f>
        <v/>
      </c>
      <c r="H44" t="str">
        <f>IF(OR(ISBLANK('MH01 (2)'!H51),ISERROR('MH01 (2)'!H51)),"",'MH01 (2)'!H51)</f>
        <v/>
      </c>
      <c r="I44" t="str">
        <f>IF(OR(ISBLANK('MH01 (2)'!I51),ISERROR('MH01 (2)'!I51)),"",'MH01 (2)'!I51)</f>
        <v/>
      </c>
      <c r="J44" t="str">
        <f>IF(OR(ISBLANK('MH01 (2)'!J51),ISERROR('MH01 (2)'!J51)),"",'MH01 (2)'!J51)</f>
        <v/>
      </c>
      <c r="K44" t="str">
        <f>IF(OR(ISBLANK('MH01 (2)'!K51),ISERROR('MH01 (2)'!K51)),"",'MH01 (2)'!K51)</f>
        <v/>
      </c>
      <c r="L44" t="str">
        <f>IF(OR(ISBLANK('MH01 (2)'!L51),ISERROR('MH01 (2)'!L51)),"",'MH01 (2)'!L51)</f>
        <v/>
      </c>
    </row>
    <row r="45" spans="1:19" x14ac:dyDescent="0.2">
      <c r="A45" t="str">
        <f>IF(OR(ISBLANK('MH01 (2)'!A52),ISERROR('MH01 (2)'!A52)),"",'MH01 (2)'!A52)</f>
        <v/>
      </c>
      <c r="B45" s="924" t="str">
        <f>IF(OR(ISBLANK('MH01 (2)'!B52),ISERROR('MH01 (2)'!B52)),"",'MH01 (2)'!B52)</f>
        <v/>
      </c>
      <c r="C45" t="str">
        <f>IF(OR(ISBLANK('MH01 (2)'!C52),ISERROR('MH01 (2)'!C52)),"",'MH01 (2)'!C52)</f>
        <v/>
      </c>
      <c r="D45" t="str">
        <f>IF(OR(ISBLANK('MH01 (2)'!D52),ISERROR('MH01 (2)'!D52)),"",'MH01 (2)'!D52)</f>
        <v/>
      </c>
      <c r="E45" t="str">
        <f>IF(OR(ISBLANK('MH01 (2)'!E52),ISERROR('MH01 (2)'!E52)),"",'MH01 (2)'!E52)</f>
        <v/>
      </c>
      <c r="F45" t="str">
        <f>IF(OR(ISBLANK('MH01 (2)'!F52),ISERROR('MH01 (2)'!F52)),"",'MH01 (2)'!F52)</f>
        <v/>
      </c>
      <c r="G45" t="str">
        <f>IF(OR(ISBLANK('MH01 (2)'!G52),ISERROR('MH01 (2)'!G52)),"",'MH01 (2)'!G52)</f>
        <v/>
      </c>
      <c r="H45" t="str">
        <f>IF(OR(ISBLANK('MH01 (2)'!H52),ISERROR('MH01 (2)'!H52)),"",'MH01 (2)'!H52)</f>
        <v/>
      </c>
      <c r="I45" t="str">
        <f>IF(OR(ISBLANK('MH01 (2)'!I52),ISERROR('MH01 (2)'!I52)),"",'MH01 (2)'!I52)</f>
        <v/>
      </c>
      <c r="J45" t="str">
        <f>IF(OR(ISBLANK('MH01 (2)'!J52),ISERROR('MH01 (2)'!J52)),"",'MH01 (2)'!J52)</f>
        <v/>
      </c>
      <c r="K45" t="str">
        <f>IF(OR(ISBLANK('MH01 (2)'!K52),ISERROR('MH01 (2)'!K52)),"",'MH01 (2)'!K52)</f>
        <v/>
      </c>
      <c r="L45" t="str">
        <f>IF(OR(ISBLANK('MH01 (2)'!L52),ISERROR('MH01 (2)'!L52)),"",'MH01 (2)'!L52)</f>
        <v/>
      </c>
    </row>
    <row r="46" spans="1:19" x14ac:dyDescent="0.2">
      <c r="A46" t="str">
        <f>IF(OR(ISBLANK('MH01 (2)'!A53),ISERROR('MH01 (2)'!A53)),"",'MH01 (2)'!A53)</f>
        <v/>
      </c>
      <c r="B46" s="924" t="str">
        <f>IF(OR(ISBLANK('MH01 (2)'!B53),ISERROR('MH01 (2)'!B53)),"",'MH01 (2)'!B53)</f>
        <v/>
      </c>
      <c r="C46" t="str">
        <f>IF(OR(ISBLANK('MH01 (2)'!C53),ISERROR('MH01 (2)'!C53)),"",'MH01 (2)'!C53)</f>
        <v/>
      </c>
      <c r="D46" t="str">
        <f>IF(OR(ISBLANK('MH01 (2)'!D53),ISERROR('MH01 (2)'!D53)),"",'MH01 (2)'!D53)</f>
        <v/>
      </c>
      <c r="E46" t="str">
        <f>IF(OR(ISBLANK('MH01 (2)'!E53),ISERROR('MH01 (2)'!E53)),"",'MH01 (2)'!E53)</f>
        <v/>
      </c>
      <c r="F46" t="str">
        <f>IF(OR(ISBLANK('MH01 (2)'!F53),ISERROR('MH01 (2)'!F53)),"",'MH01 (2)'!F53)</f>
        <v/>
      </c>
      <c r="G46" t="str">
        <f>IF(OR(ISBLANK('MH01 (2)'!G53),ISERROR('MH01 (2)'!G53)),"",'MH01 (2)'!G53)</f>
        <v/>
      </c>
      <c r="H46" t="str">
        <f>IF(OR(ISBLANK('MH01 (2)'!H53),ISERROR('MH01 (2)'!H53)),"",'MH01 (2)'!H53)</f>
        <v/>
      </c>
      <c r="I46" t="str">
        <f>IF(OR(ISBLANK('MH01 (2)'!I53),ISERROR('MH01 (2)'!I53)),"",'MH01 (2)'!I53)</f>
        <v/>
      </c>
      <c r="J46" t="str">
        <f>IF(OR(ISBLANK('MH01 (2)'!J53),ISERROR('MH01 (2)'!J53)),"",'MH01 (2)'!J53)</f>
        <v/>
      </c>
      <c r="K46" t="str">
        <f>IF(OR(ISBLANK('MH01 (2)'!K53),ISERROR('MH01 (2)'!K53)),"",'MH01 (2)'!K53)</f>
        <v/>
      </c>
      <c r="L46" t="str">
        <f>IF(OR(ISBLANK('MH01 (2)'!L53),ISERROR('MH01 (2)'!L53)),"",'MH01 (2)'!L53)</f>
        <v/>
      </c>
    </row>
    <row r="47" spans="1:19" x14ac:dyDescent="0.2">
      <c r="A47" t="str">
        <f>IF(OR(ISBLANK('MH01 (2)'!A54),ISERROR('MH01 (2)'!A54)),"",'MH01 (2)'!A54)</f>
        <v/>
      </c>
      <c r="B47" s="924" t="str">
        <f>IF(OR(ISBLANK('MH01 (2)'!B54),ISERROR('MH01 (2)'!B54)),"",'MH01 (2)'!B54)</f>
        <v/>
      </c>
      <c r="C47" t="str">
        <f>IF(OR(ISBLANK('MH01 (2)'!C54),ISERROR('MH01 (2)'!C54)),"",'MH01 (2)'!C54)</f>
        <v/>
      </c>
      <c r="D47" t="str">
        <f>IF(OR(ISBLANK('MH01 (2)'!D54),ISERROR('MH01 (2)'!D54)),"",'MH01 (2)'!D54)</f>
        <v/>
      </c>
      <c r="E47" t="str">
        <f>IF(OR(ISBLANK('MH01 (2)'!E54),ISERROR('MH01 (2)'!E54)),"",'MH01 (2)'!E54)</f>
        <v/>
      </c>
      <c r="F47" t="str">
        <f>IF(OR(ISBLANK('MH01 (2)'!F54),ISERROR('MH01 (2)'!F54)),"",'MH01 (2)'!F54)</f>
        <v/>
      </c>
      <c r="G47" t="str">
        <f>IF(OR(ISBLANK('MH01 (2)'!G54),ISERROR('MH01 (2)'!G54)),"",'MH01 (2)'!G54)</f>
        <v/>
      </c>
      <c r="H47" t="str">
        <f>IF(OR(ISBLANK('MH01 (2)'!H54),ISERROR('MH01 (2)'!H54)),"",'MH01 (2)'!H54)</f>
        <v/>
      </c>
      <c r="I47" t="str">
        <f>IF(OR(ISBLANK('MH01 (2)'!I54),ISERROR('MH01 (2)'!I54)),"",'MH01 (2)'!I54)</f>
        <v/>
      </c>
      <c r="J47" t="str">
        <f>IF(OR(ISBLANK('MH01 (2)'!J54),ISERROR('MH01 (2)'!J54)),"",'MH01 (2)'!J54)</f>
        <v/>
      </c>
      <c r="K47" t="str">
        <f>IF(OR(ISBLANK('MH01 (2)'!K54),ISERROR('MH01 (2)'!K54)),"",'MH01 (2)'!K54)</f>
        <v/>
      </c>
      <c r="L47" t="str">
        <f>IF(OR(ISBLANK('MH01 (2)'!L54),ISERROR('MH01 (2)'!L54)),"",'MH01 (2)'!L54)</f>
        <v/>
      </c>
    </row>
    <row r="48" spans="1:19" x14ac:dyDescent="0.2">
      <c r="A48" t="str">
        <f>IF(OR(ISBLANK('MH01 (2)'!A55),ISERROR('MH01 (2)'!A55)),"",'MH01 (2)'!A55)</f>
        <v/>
      </c>
      <c r="B48" s="924" t="str">
        <f>IF(OR(ISBLANK('MH01 (2)'!B55),ISERROR('MH01 (2)'!B55)),"",'MH01 (2)'!B55)</f>
        <v/>
      </c>
      <c r="C48" t="str">
        <f>IF(OR(ISBLANK('MH01 (2)'!C55),ISERROR('MH01 (2)'!C55)),"",'MH01 (2)'!C55)</f>
        <v/>
      </c>
      <c r="D48" t="str">
        <f>IF(OR(ISBLANK('MH01 (2)'!D55),ISERROR('MH01 (2)'!D55)),"",'MH01 (2)'!D55)</f>
        <v/>
      </c>
      <c r="E48" t="str">
        <f>IF(OR(ISBLANK('MH01 (2)'!E55),ISERROR('MH01 (2)'!E55)),"",'MH01 (2)'!E55)</f>
        <v/>
      </c>
      <c r="F48" t="str">
        <f>IF(OR(ISBLANK('MH01 (2)'!F55),ISERROR('MH01 (2)'!F55)),"",'MH01 (2)'!F55)</f>
        <v/>
      </c>
      <c r="G48" t="str">
        <f>IF(OR(ISBLANK('MH01 (2)'!G55),ISERROR('MH01 (2)'!G55)),"",'MH01 (2)'!G55)</f>
        <v/>
      </c>
      <c r="H48" t="str">
        <f>IF(OR(ISBLANK('MH01 (2)'!H55),ISERROR('MH01 (2)'!H55)),"",'MH01 (2)'!H55)</f>
        <v/>
      </c>
      <c r="I48" t="str">
        <f>IF(OR(ISBLANK('MH01 (2)'!I55),ISERROR('MH01 (2)'!I55)),"",'MH01 (2)'!I55)</f>
        <v/>
      </c>
      <c r="J48" t="str">
        <f>IF(OR(ISBLANK('MH01 (2)'!J55),ISERROR('MH01 (2)'!J55)),"",'MH01 (2)'!J55)</f>
        <v/>
      </c>
      <c r="K48" t="str">
        <f>IF(OR(ISBLANK('MH01 (2)'!K55),ISERROR('MH01 (2)'!K55)),"",'MH01 (2)'!K55)</f>
        <v/>
      </c>
      <c r="L48" t="str">
        <f>IF(OR(ISBLANK('MH01 (2)'!L55),ISERROR('MH01 (2)'!L55)),"",'MH01 (2)'!L55)</f>
        <v/>
      </c>
    </row>
    <row r="49" spans="1:12" x14ac:dyDescent="0.2">
      <c r="A49" t="str">
        <f>IF(OR(ISBLANK('MH01 (2)'!A56),ISERROR('MH01 (2)'!A56)),"",'MH01 (2)'!A56)</f>
        <v/>
      </c>
      <c r="B49" s="924" t="str">
        <f>IF(OR(ISBLANK('MH01 (2)'!B56),ISERROR('MH01 (2)'!B56)),"",'MH01 (2)'!B56)</f>
        <v/>
      </c>
      <c r="C49" t="str">
        <f>IF(OR(ISBLANK('MH01 (2)'!C56),ISERROR('MH01 (2)'!C56)),"",'MH01 (2)'!C56)</f>
        <v/>
      </c>
      <c r="D49" t="str">
        <f>IF(OR(ISBLANK('MH01 (2)'!D56),ISERROR('MH01 (2)'!D56)),"",'MH01 (2)'!D56)</f>
        <v/>
      </c>
      <c r="E49" t="str">
        <f>IF(OR(ISBLANK('MH01 (2)'!E56),ISERROR('MH01 (2)'!E56)),"",'MH01 (2)'!E56)</f>
        <v/>
      </c>
      <c r="F49" t="str">
        <f>IF(OR(ISBLANK('MH01 (2)'!F56),ISERROR('MH01 (2)'!F56)),"",'MH01 (2)'!F56)</f>
        <v/>
      </c>
      <c r="G49" t="str">
        <f>IF(OR(ISBLANK('MH01 (2)'!G56),ISERROR('MH01 (2)'!G56)),"",'MH01 (2)'!G56)</f>
        <v/>
      </c>
      <c r="H49" t="str">
        <f>IF(OR(ISBLANK('MH01 (2)'!H56),ISERROR('MH01 (2)'!H56)),"",'MH01 (2)'!H56)</f>
        <v/>
      </c>
      <c r="I49" t="str">
        <f>IF(OR(ISBLANK('MH01 (2)'!I56),ISERROR('MH01 (2)'!I56)),"",'MH01 (2)'!I56)</f>
        <v/>
      </c>
      <c r="J49" t="str">
        <f>IF(OR(ISBLANK('MH01 (2)'!J56),ISERROR('MH01 (2)'!J56)),"",'MH01 (2)'!J56)</f>
        <v/>
      </c>
      <c r="K49" t="str">
        <f>IF(OR(ISBLANK('MH01 (2)'!K56),ISERROR('MH01 (2)'!K56)),"",'MH01 (2)'!K56)</f>
        <v/>
      </c>
      <c r="L49" t="str">
        <f>IF(OR(ISBLANK('MH01 (2)'!L56),ISERROR('MH01 (2)'!L56)),"",'MH01 (2)'!L56)</f>
        <v/>
      </c>
    </row>
    <row r="50" spans="1:12" x14ac:dyDescent="0.2">
      <c r="A50" t="str">
        <f>IF(OR(ISBLANK('MH01 (2)'!A57),ISERROR('MH01 (2)'!A57)),"",'MH01 (2)'!A57)</f>
        <v/>
      </c>
      <c r="B50" s="924" t="str">
        <f>IF(OR(ISBLANK('MH01 (2)'!B57),ISERROR('MH01 (2)'!B57)),"",'MH01 (2)'!B57)</f>
        <v/>
      </c>
      <c r="C50" t="str">
        <f>IF(OR(ISBLANK('MH01 (2)'!C57),ISERROR('MH01 (2)'!C57)),"",'MH01 (2)'!C57)</f>
        <v/>
      </c>
      <c r="D50" t="str">
        <f>IF(OR(ISBLANK('MH01 (2)'!D57),ISERROR('MH01 (2)'!D57)),"",'MH01 (2)'!D57)</f>
        <v/>
      </c>
      <c r="E50" t="str">
        <f>IF(OR(ISBLANK('MH01 (2)'!E57),ISERROR('MH01 (2)'!E57)),"",'MH01 (2)'!E57)</f>
        <v/>
      </c>
      <c r="F50" t="str">
        <f>IF(OR(ISBLANK('MH01 (2)'!F57),ISERROR('MH01 (2)'!F57)),"",'MH01 (2)'!F57)</f>
        <v/>
      </c>
      <c r="G50" t="str">
        <f>IF(OR(ISBLANK('MH01 (2)'!G57),ISERROR('MH01 (2)'!G57)),"",'MH01 (2)'!G57)</f>
        <v/>
      </c>
      <c r="H50" t="str">
        <f>IF(OR(ISBLANK('MH01 (2)'!H57),ISERROR('MH01 (2)'!H57)),"",'MH01 (2)'!H57)</f>
        <v/>
      </c>
      <c r="I50" t="str">
        <f>IF(OR(ISBLANK('MH01 (2)'!I57),ISERROR('MH01 (2)'!I57)),"",'MH01 (2)'!I57)</f>
        <v/>
      </c>
      <c r="J50" t="str">
        <f>IF(OR(ISBLANK('MH01 (2)'!J57),ISERROR('MH01 (2)'!J57)),"",'MH01 (2)'!J57)</f>
        <v/>
      </c>
      <c r="K50" t="str">
        <f>IF(OR(ISBLANK('MH01 (2)'!K57),ISERROR('MH01 (2)'!K57)),"",'MH01 (2)'!K57)</f>
        <v/>
      </c>
      <c r="L50" t="str">
        <f>IF(OR(ISBLANK('MH01 (2)'!L57),ISERROR('MH01 (2)'!L57)),"",'MH01 (2)'!L57)</f>
        <v/>
      </c>
    </row>
    <row r="51" spans="1:12" x14ac:dyDescent="0.2">
      <c r="A51" t="str">
        <f>IF(OR(ISBLANK('MH01 (2)'!A58),ISERROR('MH01 (2)'!A58)),"",'MH01 (2)'!A58)</f>
        <v/>
      </c>
      <c r="B51" s="924" t="str">
        <f>IF(OR(ISBLANK('MH01 (2)'!B58),ISERROR('MH01 (2)'!B58)),"",'MH01 (2)'!B58)</f>
        <v/>
      </c>
      <c r="C51" t="str">
        <f>IF(OR(ISBLANK('MH01 (2)'!C58),ISERROR('MH01 (2)'!C58)),"",'MH01 (2)'!C58)</f>
        <v/>
      </c>
      <c r="D51" t="str">
        <f>IF(OR(ISBLANK('MH01 (2)'!D58),ISERROR('MH01 (2)'!D58)),"",'MH01 (2)'!D58)</f>
        <v/>
      </c>
      <c r="E51" t="str">
        <f>IF(OR(ISBLANK('MH01 (2)'!E58),ISERROR('MH01 (2)'!E58)),"",'MH01 (2)'!E58)</f>
        <v/>
      </c>
      <c r="F51" t="str">
        <f>IF(OR(ISBLANK('MH01 (2)'!F58),ISERROR('MH01 (2)'!F58)),"",'MH01 (2)'!F58)</f>
        <v/>
      </c>
      <c r="G51" t="str">
        <f>IF(OR(ISBLANK('MH01 (2)'!G58),ISERROR('MH01 (2)'!G58)),"",'MH01 (2)'!G58)</f>
        <v/>
      </c>
      <c r="H51" t="str">
        <f>IF(OR(ISBLANK('MH01 (2)'!H58),ISERROR('MH01 (2)'!H58)),"",'MH01 (2)'!H58)</f>
        <v/>
      </c>
      <c r="I51" t="str">
        <f>IF(OR(ISBLANK('MH01 (2)'!I58),ISERROR('MH01 (2)'!I58)),"",'MH01 (2)'!I58)</f>
        <v/>
      </c>
      <c r="J51" t="str">
        <f>IF(OR(ISBLANK('MH01 (2)'!J58),ISERROR('MH01 (2)'!J58)),"",'MH01 (2)'!J58)</f>
        <v/>
      </c>
      <c r="K51" t="str">
        <f>IF(OR(ISBLANK('MH01 (2)'!K58),ISERROR('MH01 (2)'!K58)),"",'MH01 (2)'!K58)</f>
        <v/>
      </c>
      <c r="L51" t="str">
        <f>IF(OR(ISBLANK('MH01 (2)'!L58),ISERROR('MH01 (2)'!L58)),"",'MH01 (2)'!L58)</f>
        <v/>
      </c>
    </row>
    <row r="52" spans="1:12" x14ac:dyDescent="0.2">
      <c r="A52" t="str">
        <f>IF(OR(ISBLANK('MH01 (2)'!A59),ISERROR('MH01 (2)'!A59)),"",'MH01 (2)'!A59)</f>
        <v/>
      </c>
      <c r="B52" s="924" t="str">
        <f>IF(OR(ISBLANK('MH01 (2)'!B59),ISERROR('MH01 (2)'!B59)),"",'MH01 (2)'!B59)</f>
        <v/>
      </c>
      <c r="C52" t="str">
        <f>IF(OR(ISBLANK('MH01 (2)'!C59),ISERROR('MH01 (2)'!C59)),"",'MH01 (2)'!C59)</f>
        <v/>
      </c>
      <c r="D52" t="str">
        <f>IF(OR(ISBLANK('MH01 (2)'!D59),ISERROR('MH01 (2)'!D59)),"",'MH01 (2)'!D59)</f>
        <v/>
      </c>
      <c r="E52" t="str">
        <f>IF(OR(ISBLANK('MH01 (2)'!E59),ISERROR('MH01 (2)'!E59)),"",'MH01 (2)'!E59)</f>
        <v/>
      </c>
      <c r="F52" t="str">
        <f>IF(OR(ISBLANK('MH01 (2)'!F59),ISERROR('MH01 (2)'!F59)),"",'MH01 (2)'!F59)</f>
        <v/>
      </c>
      <c r="G52" t="str">
        <f>IF(OR(ISBLANK('MH01 (2)'!G59),ISERROR('MH01 (2)'!G59)),"",'MH01 (2)'!G59)</f>
        <v/>
      </c>
      <c r="H52" t="str">
        <f>IF(OR(ISBLANK('MH01 (2)'!H59),ISERROR('MH01 (2)'!H59)),"",'MH01 (2)'!H59)</f>
        <v/>
      </c>
      <c r="I52" t="str">
        <f>IF(OR(ISBLANK('MH01 (2)'!I59),ISERROR('MH01 (2)'!I59)),"",'MH01 (2)'!I59)</f>
        <v/>
      </c>
      <c r="J52" t="str">
        <f>IF(OR(ISBLANK('MH01 (2)'!J59),ISERROR('MH01 (2)'!J59)),"",'MH01 (2)'!J59)</f>
        <v/>
      </c>
      <c r="K52" t="str">
        <f>IF(OR(ISBLANK('MH01 (2)'!K59),ISERROR('MH01 (2)'!K59)),"",'MH01 (2)'!K59)</f>
        <v/>
      </c>
      <c r="L52" t="str">
        <f>IF(OR(ISBLANK('MH01 (2)'!L59),ISERROR('MH01 (2)'!L59)),"",'MH01 (2)'!L59)</f>
        <v/>
      </c>
    </row>
    <row r="53" spans="1:12" x14ac:dyDescent="0.2">
      <c r="A53" t="str">
        <f>IF(OR(ISBLANK('MH01 (2)'!A60),ISERROR('MH01 (2)'!A60)),"",'MH01 (2)'!A60)</f>
        <v/>
      </c>
      <c r="B53" s="924" t="str">
        <f>IF(OR(ISBLANK('MH01 (2)'!B60),ISERROR('MH01 (2)'!B60)),"",'MH01 (2)'!B60)</f>
        <v/>
      </c>
      <c r="C53" t="str">
        <f>IF(OR(ISBLANK('MH01 (2)'!C60),ISERROR('MH01 (2)'!C60)),"",'MH01 (2)'!C60)</f>
        <v/>
      </c>
      <c r="D53" t="str">
        <f>IF(OR(ISBLANK('MH01 (2)'!D60),ISERROR('MH01 (2)'!D60)),"",'MH01 (2)'!D60)</f>
        <v/>
      </c>
      <c r="E53" t="str">
        <f>IF(OR(ISBLANK('MH01 (2)'!E60),ISERROR('MH01 (2)'!E60)),"",'MH01 (2)'!E60)</f>
        <v/>
      </c>
      <c r="F53" t="str">
        <f>IF(OR(ISBLANK('MH01 (2)'!F60),ISERROR('MH01 (2)'!F60)),"",'MH01 (2)'!F60)</f>
        <v/>
      </c>
      <c r="G53" t="str">
        <f>IF(OR(ISBLANK('MH01 (2)'!G60),ISERROR('MH01 (2)'!G60)),"",'MH01 (2)'!G60)</f>
        <v/>
      </c>
      <c r="H53" t="str">
        <f>IF(OR(ISBLANK('MH01 (2)'!H60),ISERROR('MH01 (2)'!H60)),"",'MH01 (2)'!H60)</f>
        <v/>
      </c>
      <c r="I53" t="str">
        <f>IF(OR(ISBLANK('MH01 (2)'!I60),ISERROR('MH01 (2)'!I60)),"",'MH01 (2)'!I60)</f>
        <v/>
      </c>
      <c r="J53" t="str">
        <f>IF(OR(ISBLANK('MH01 (2)'!J60),ISERROR('MH01 (2)'!J60)),"",'MH01 (2)'!J60)</f>
        <v/>
      </c>
      <c r="K53" t="str">
        <f>IF(OR(ISBLANK('MH01 (2)'!K60),ISERROR('MH01 (2)'!K60)),"",'MH01 (2)'!K60)</f>
        <v/>
      </c>
      <c r="L53" t="str">
        <f>IF(OR(ISBLANK('MH01 (2)'!L60),ISERROR('MH01 (2)'!L60)),"",'MH01 (2)'!L60)</f>
        <v/>
      </c>
    </row>
    <row r="54" spans="1:12" x14ac:dyDescent="0.2">
      <c r="A54" t="str">
        <f>IF(OR(ISBLANK('MH01 (2)'!A61),ISERROR('MH01 (2)'!A61)),"",'MH01 (2)'!A61)</f>
        <v/>
      </c>
      <c r="B54" s="924" t="str">
        <f>IF(OR(ISBLANK('MH01 (2)'!B61),ISERROR('MH01 (2)'!B61)),"",'MH01 (2)'!B61)</f>
        <v/>
      </c>
      <c r="C54" t="str">
        <f>IF(OR(ISBLANK('MH01 (2)'!C61),ISERROR('MH01 (2)'!C61)),"",'MH01 (2)'!C61)</f>
        <v/>
      </c>
      <c r="D54" t="str">
        <f>IF(OR(ISBLANK('MH01 (2)'!D61),ISERROR('MH01 (2)'!D61)),"",'MH01 (2)'!D61)</f>
        <v/>
      </c>
      <c r="E54" t="str">
        <f>IF(OR(ISBLANK('MH01 (2)'!E61),ISERROR('MH01 (2)'!E61)),"",'MH01 (2)'!E61)</f>
        <v/>
      </c>
      <c r="F54" t="str">
        <f>IF(OR(ISBLANK('MH01 (2)'!F61),ISERROR('MH01 (2)'!F61)),"",'MH01 (2)'!F61)</f>
        <v/>
      </c>
      <c r="G54" t="str">
        <f>IF(OR(ISBLANK('MH01 (2)'!G61),ISERROR('MH01 (2)'!G61)),"",'MH01 (2)'!G61)</f>
        <v/>
      </c>
      <c r="H54" t="str">
        <f>IF(OR(ISBLANK('MH01 (2)'!H61),ISERROR('MH01 (2)'!H61)),"",'MH01 (2)'!H61)</f>
        <v/>
      </c>
      <c r="I54" t="str">
        <f>IF(OR(ISBLANK('MH01 (2)'!I61),ISERROR('MH01 (2)'!I61)),"",'MH01 (2)'!I61)</f>
        <v/>
      </c>
      <c r="J54" t="str">
        <f>IF(OR(ISBLANK('MH01 (2)'!J61),ISERROR('MH01 (2)'!J61)),"",'MH01 (2)'!J61)</f>
        <v/>
      </c>
      <c r="K54" t="str">
        <f>IF(OR(ISBLANK('MH01 (2)'!K61),ISERROR('MH01 (2)'!K61)),"",'MH01 (2)'!K61)</f>
        <v/>
      </c>
      <c r="L54" t="str">
        <f>IF(OR(ISBLANK('MH01 (2)'!L61),ISERROR('MH01 (2)'!L61)),"",'MH01 (2)'!L61)</f>
        <v/>
      </c>
    </row>
    <row r="55" spans="1:12" x14ac:dyDescent="0.2">
      <c r="A55" t="str">
        <f>IF(OR(ISBLANK('MH01 (2)'!A62),ISERROR('MH01 (2)'!A62)),"",'MH01 (2)'!A62)</f>
        <v/>
      </c>
      <c r="B55" s="924" t="str">
        <f>IF(OR(ISBLANK('MH01 (2)'!B62),ISERROR('MH01 (2)'!B62)),"",'MH01 (2)'!B62)</f>
        <v/>
      </c>
      <c r="C55" t="str">
        <f>IF(OR(ISBLANK('MH01 (2)'!C62),ISERROR('MH01 (2)'!C62)),"",'MH01 (2)'!C62)</f>
        <v/>
      </c>
      <c r="D55" t="str">
        <f>IF(OR(ISBLANK('MH01 (2)'!D62),ISERROR('MH01 (2)'!D62)),"",'MH01 (2)'!D62)</f>
        <v/>
      </c>
      <c r="E55" t="str">
        <f>IF(OR(ISBLANK('MH01 (2)'!E62),ISERROR('MH01 (2)'!E62)),"",'MH01 (2)'!E62)</f>
        <v/>
      </c>
      <c r="F55" t="str">
        <f>IF(OR(ISBLANK('MH01 (2)'!F62),ISERROR('MH01 (2)'!F62)),"",'MH01 (2)'!F62)</f>
        <v/>
      </c>
      <c r="G55" t="str">
        <f>IF(OR(ISBLANK('MH01 (2)'!G62),ISERROR('MH01 (2)'!G62)),"",'MH01 (2)'!G62)</f>
        <v/>
      </c>
      <c r="H55" t="str">
        <f>IF(OR(ISBLANK('MH01 (2)'!H62),ISERROR('MH01 (2)'!H62)),"",'MH01 (2)'!H62)</f>
        <v/>
      </c>
      <c r="I55" t="str">
        <f>IF(OR(ISBLANK('MH01 (2)'!I62),ISERROR('MH01 (2)'!I62)),"",'MH01 (2)'!I62)</f>
        <v/>
      </c>
      <c r="J55" t="str">
        <f>IF(OR(ISBLANK('MH01 (2)'!J62),ISERROR('MH01 (2)'!J62)),"",'MH01 (2)'!J62)</f>
        <v/>
      </c>
      <c r="K55" t="str">
        <f>IF(OR(ISBLANK('MH01 (2)'!K62),ISERROR('MH01 (2)'!K62)),"",'MH01 (2)'!K62)</f>
        <v/>
      </c>
      <c r="L55" t="str">
        <f>IF(OR(ISBLANK('MH01 (2)'!L62),ISERROR('MH01 (2)'!L62)),"",'MH01 (2)'!L62)</f>
        <v/>
      </c>
    </row>
    <row r="56" spans="1:12" x14ac:dyDescent="0.2">
      <c r="A56" t="str">
        <f>IF(OR(ISBLANK('MH01 (2)'!A63),ISERROR('MH01 (2)'!A63)),"",'MH01 (2)'!A63)</f>
        <v/>
      </c>
      <c r="B56" s="924" t="str">
        <f>IF(OR(ISBLANK('MH01 (2)'!B63),ISERROR('MH01 (2)'!B63)),"",'MH01 (2)'!B63)</f>
        <v/>
      </c>
      <c r="C56" t="str">
        <f>IF(OR(ISBLANK('MH01 (2)'!C63),ISERROR('MH01 (2)'!C63)),"",'MH01 (2)'!C63)</f>
        <v/>
      </c>
      <c r="D56" t="str">
        <f>IF(OR(ISBLANK('MH01 (2)'!D63),ISERROR('MH01 (2)'!D63)),"",'MH01 (2)'!D63)</f>
        <v/>
      </c>
      <c r="E56" t="str">
        <f>IF(OR(ISBLANK('MH01 (2)'!E63),ISERROR('MH01 (2)'!E63)),"",'MH01 (2)'!E63)</f>
        <v/>
      </c>
      <c r="F56" t="str">
        <f>IF(OR(ISBLANK('MH01 (2)'!F63),ISERROR('MH01 (2)'!F63)),"",'MH01 (2)'!F63)</f>
        <v/>
      </c>
      <c r="G56" t="str">
        <f>IF(OR(ISBLANK('MH01 (2)'!G63),ISERROR('MH01 (2)'!G63)),"",'MH01 (2)'!G63)</f>
        <v/>
      </c>
      <c r="H56" t="str">
        <f>IF(OR(ISBLANK('MH01 (2)'!H63),ISERROR('MH01 (2)'!H63)),"",'MH01 (2)'!H63)</f>
        <v/>
      </c>
      <c r="I56" t="str">
        <f>IF(OR(ISBLANK('MH01 (2)'!I63),ISERROR('MH01 (2)'!I63)),"",'MH01 (2)'!I63)</f>
        <v/>
      </c>
      <c r="J56" t="str">
        <f>IF(OR(ISBLANK('MH01 (2)'!J63),ISERROR('MH01 (2)'!J63)),"",'MH01 (2)'!J63)</f>
        <v/>
      </c>
      <c r="K56" t="str">
        <f>IF(OR(ISBLANK('MH01 (2)'!K63),ISERROR('MH01 (2)'!K63)),"",'MH01 (2)'!K63)</f>
        <v/>
      </c>
      <c r="L56" t="str">
        <f>IF(OR(ISBLANK('MH01 (2)'!L63),ISERROR('MH01 (2)'!L63)),"",'MH01 (2)'!L63)</f>
        <v/>
      </c>
    </row>
    <row r="57" spans="1:12" x14ac:dyDescent="0.2">
      <c r="A57" t="str">
        <f>IF(OR(ISBLANK('MH01 (2)'!A64),ISERROR('MH01 (2)'!A64)),"",'MH01 (2)'!A64)</f>
        <v/>
      </c>
      <c r="B57" s="924" t="str">
        <f>IF(OR(ISBLANK('MH01 (2)'!B64),ISERROR('MH01 (2)'!B64)),"",'MH01 (2)'!B64)</f>
        <v/>
      </c>
      <c r="C57" t="str">
        <f>IF(OR(ISBLANK('MH01 (2)'!C64),ISERROR('MH01 (2)'!C64)),"",'MH01 (2)'!C64)</f>
        <v/>
      </c>
      <c r="D57" t="str">
        <f>IF(OR(ISBLANK('MH01 (2)'!D64),ISERROR('MH01 (2)'!D64)),"",'MH01 (2)'!D64)</f>
        <v/>
      </c>
      <c r="E57" t="str">
        <f>IF(OR(ISBLANK('MH01 (2)'!E64),ISERROR('MH01 (2)'!E64)),"",'MH01 (2)'!E64)</f>
        <v/>
      </c>
      <c r="F57" t="str">
        <f>IF(OR(ISBLANK('MH01 (2)'!F64),ISERROR('MH01 (2)'!F64)),"",'MH01 (2)'!F64)</f>
        <v/>
      </c>
      <c r="G57" t="str">
        <f>IF(OR(ISBLANK('MH01 (2)'!G64),ISERROR('MH01 (2)'!G64)),"",'MH01 (2)'!G64)</f>
        <v/>
      </c>
      <c r="H57" t="str">
        <f>IF(OR(ISBLANK('MH01 (2)'!H64),ISERROR('MH01 (2)'!H64)),"",'MH01 (2)'!H64)</f>
        <v/>
      </c>
      <c r="I57" t="str">
        <f>IF(OR(ISBLANK('MH01 (2)'!I64),ISERROR('MH01 (2)'!I64)),"",'MH01 (2)'!I64)</f>
        <v/>
      </c>
      <c r="J57" t="str">
        <f>IF(OR(ISBLANK('MH01 (2)'!J64),ISERROR('MH01 (2)'!J64)),"",'MH01 (2)'!J64)</f>
        <v/>
      </c>
      <c r="K57" t="str">
        <f>IF(OR(ISBLANK('MH01 (2)'!K64),ISERROR('MH01 (2)'!K64)),"",'MH01 (2)'!K64)</f>
        <v/>
      </c>
      <c r="L57" t="str">
        <f>IF(OR(ISBLANK('MH01 (2)'!L64),ISERROR('MH01 (2)'!L64)),"",'MH01 (2)'!L64)</f>
        <v/>
      </c>
    </row>
    <row r="58" spans="1:12" x14ac:dyDescent="0.2">
      <c r="A58" t="str">
        <f>IF(OR(ISBLANK('MH01 (2)'!A65),ISERROR('MH01 (2)'!A65)),"",'MH01 (2)'!A65)</f>
        <v/>
      </c>
      <c r="B58" s="924" t="str">
        <f>IF(OR(ISBLANK('MH01 (2)'!B65),ISERROR('MH01 (2)'!B65)),"",'MH01 (2)'!B65)</f>
        <v/>
      </c>
      <c r="C58" t="str">
        <f>IF(OR(ISBLANK('MH01 (2)'!C65),ISERROR('MH01 (2)'!C65)),"",'MH01 (2)'!C65)</f>
        <v/>
      </c>
      <c r="D58" t="str">
        <f>IF(OR(ISBLANK('MH01 (2)'!D65),ISERROR('MH01 (2)'!D65)),"",'MH01 (2)'!D65)</f>
        <v/>
      </c>
      <c r="E58" t="str">
        <f>IF(OR(ISBLANK('MH01 (2)'!E65),ISERROR('MH01 (2)'!E65)),"",'MH01 (2)'!E65)</f>
        <v/>
      </c>
      <c r="F58" t="str">
        <f>IF(OR(ISBLANK('MH01 (2)'!F65),ISERROR('MH01 (2)'!F65)),"",'MH01 (2)'!F65)</f>
        <v/>
      </c>
      <c r="G58" t="str">
        <f>IF(OR(ISBLANK('MH01 (2)'!G65),ISERROR('MH01 (2)'!G65)),"",'MH01 (2)'!G65)</f>
        <v/>
      </c>
      <c r="H58" t="str">
        <f>IF(OR(ISBLANK('MH01 (2)'!H65),ISERROR('MH01 (2)'!H65)),"",'MH01 (2)'!H65)</f>
        <v/>
      </c>
      <c r="I58" t="str">
        <f>IF(OR(ISBLANK('MH01 (2)'!I65),ISERROR('MH01 (2)'!I65)),"",'MH01 (2)'!I65)</f>
        <v/>
      </c>
      <c r="J58" t="str">
        <f>IF(OR(ISBLANK('MH01 (2)'!J65),ISERROR('MH01 (2)'!J65)),"",'MH01 (2)'!J65)</f>
        <v/>
      </c>
      <c r="K58" t="str">
        <f>IF(OR(ISBLANK('MH01 (2)'!K65),ISERROR('MH01 (2)'!K65)),"",'MH01 (2)'!K65)</f>
        <v/>
      </c>
      <c r="L58" t="str">
        <f>IF(OR(ISBLANK('MH01 (2)'!L65),ISERROR('MH01 (2)'!L65)),"",'MH01 (2)'!L65)</f>
        <v/>
      </c>
    </row>
    <row r="59" spans="1:12" x14ac:dyDescent="0.2">
      <c r="A59" t="str">
        <f>IF(OR(ISBLANK('MH01 (2)'!A66),ISERROR('MH01 (2)'!A66)),"",'MH01 (2)'!A66)</f>
        <v/>
      </c>
      <c r="B59" s="924" t="str">
        <f>IF(OR(ISBLANK('MH01 (2)'!B66),ISERROR('MH01 (2)'!B66)),"",'MH01 (2)'!B66)</f>
        <v/>
      </c>
      <c r="C59" t="str">
        <f>IF(OR(ISBLANK('MH01 (2)'!C66),ISERROR('MH01 (2)'!C66)),"",'MH01 (2)'!C66)</f>
        <v/>
      </c>
      <c r="D59" t="str">
        <f>IF(OR(ISBLANK('MH01 (2)'!D66),ISERROR('MH01 (2)'!D66)),"",'MH01 (2)'!D66)</f>
        <v/>
      </c>
      <c r="E59" t="str">
        <f>IF(OR(ISBLANK('MH01 (2)'!E66),ISERROR('MH01 (2)'!E66)),"",'MH01 (2)'!E66)</f>
        <v/>
      </c>
      <c r="F59" t="str">
        <f>IF(OR(ISBLANK('MH01 (2)'!F66),ISERROR('MH01 (2)'!F66)),"",'MH01 (2)'!F66)</f>
        <v/>
      </c>
      <c r="G59" t="str">
        <f>IF(OR(ISBLANK('MH01 (2)'!G66),ISERROR('MH01 (2)'!G66)),"",'MH01 (2)'!G66)</f>
        <v/>
      </c>
      <c r="H59" t="str">
        <f>IF(OR(ISBLANK('MH01 (2)'!H66),ISERROR('MH01 (2)'!H66)),"",'MH01 (2)'!H66)</f>
        <v/>
      </c>
      <c r="I59" t="str">
        <f>IF(OR(ISBLANK('MH01 (2)'!I66),ISERROR('MH01 (2)'!I66)),"",'MH01 (2)'!I66)</f>
        <v/>
      </c>
      <c r="J59" t="str">
        <f>IF(OR(ISBLANK('MH01 (2)'!J66),ISERROR('MH01 (2)'!J66)),"",'MH01 (2)'!J66)</f>
        <v/>
      </c>
      <c r="K59" t="str">
        <f>IF(OR(ISBLANK('MH01 (2)'!K66),ISERROR('MH01 (2)'!K66)),"",'MH01 (2)'!K66)</f>
        <v/>
      </c>
      <c r="L59" t="str">
        <f>IF(OR(ISBLANK('MH01 (2)'!L66),ISERROR('MH01 (2)'!L66)),"",'MH01 (2)'!L66)</f>
        <v/>
      </c>
    </row>
    <row r="60" spans="1:12" x14ac:dyDescent="0.2">
      <c r="A60" t="str">
        <f>IF(OR(ISBLANK('MH01 (2)'!A67),ISERROR('MH01 (2)'!A67)),"",'MH01 (2)'!A67)</f>
        <v/>
      </c>
      <c r="B60" s="924" t="str">
        <f>IF(OR(ISBLANK('MH01 (2)'!B67),ISERROR('MH01 (2)'!B67)),"",'MH01 (2)'!B67)</f>
        <v/>
      </c>
      <c r="C60" t="str">
        <f>IF(OR(ISBLANK('MH01 (2)'!C67),ISERROR('MH01 (2)'!C67)),"",'MH01 (2)'!C67)</f>
        <v/>
      </c>
      <c r="D60" t="str">
        <f>IF(OR(ISBLANK('MH01 (2)'!D67),ISERROR('MH01 (2)'!D67)),"",'MH01 (2)'!D67)</f>
        <v/>
      </c>
      <c r="E60" t="str">
        <f>IF(OR(ISBLANK('MH01 (2)'!E67),ISERROR('MH01 (2)'!E67)),"",'MH01 (2)'!E67)</f>
        <v/>
      </c>
      <c r="F60" t="str">
        <f>IF(OR(ISBLANK('MH01 (2)'!F67),ISERROR('MH01 (2)'!F67)),"",'MH01 (2)'!F67)</f>
        <v/>
      </c>
      <c r="G60" t="str">
        <f>IF(OR(ISBLANK('MH01 (2)'!G67),ISERROR('MH01 (2)'!G67)),"",'MH01 (2)'!G67)</f>
        <v/>
      </c>
      <c r="H60" t="str">
        <f>IF(OR(ISBLANK('MH01 (2)'!H67),ISERROR('MH01 (2)'!H67)),"",'MH01 (2)'!H67)</f>
        <v/>
      </c>
      <c r="I60" t="str">
        <f>IF(OR(ISBLANK('MH01 (2)'!I67),ISERROR('MH01 (2)'!I67)),"",'MH01 (2)'!I67)</f>
        <v/>
      </c>
      <c r="J60" t="str">
        <f>IF(OR(ISBLANK('MH01 (2)'!J67),ISERROR('MH01 (2)'!J67)),"",'MH01 (2)'!J67)</f>
        <v/>
      </c>
      <c r="K60" t="str">
        <f>IF(OR(ISBLANK('MH01 (2)'!K67),ISERROR('MH01 (2)'!K67)),"",'MH01 (2)'!K67)</f>
        <v/>
      </c>
      <c r="L60" t="str">
        <f>IF(OR(ISBLANK('MH01 (2)'!L67),ISERROR('MH01 (2)'!L67)),"",'MH01 (2)'!L67)</f>
        <v/>
      </c>
    </row>
    <row r="61" spans="1:12" x14ac:dyDescent="0.2">
      <c r="A61" t="str">
        <f>IF(OR(ISBLANK('MH01 (2)'!A68),ISERROR('MH01 (2)'!A68)),"",'MH01 (2)'!A68)</f>
        <v/>
      </c>
      <c r="B61" s="924" t="str">
        <f>IF(OR(ISBLANK('MH01 (2)'!B68),ISERROR('MH01 (2)'!B68)),"",'MH01 (2)'!B68)</f>
        <v/>
      </c>
      <c r="C61" t="str">
        <f>IF(OR(ISBLANK('MH01 (2)'!C68),ISERROR('MH01 (2)'!C68)),"",'MH01 (2)'!C68)</f>
        <v/>
      </c>
      <c r="D61" t="str">
        <f>IF(OR(ISBLANK('MH01 (2)'!D68),ISERROR('MH01 (2)'!D68)),"",'MH01 (2)'!D68)</f>
        <v/>
      </c>
      <c r="E61" t="str">
        <f>IF(OR(ISBLANK('MH01 (2)'!E68),ISERROR('MH01 (2)'!E68)),"",'MH01 (2)'!E68)</f>
        <v/>
      </c>
      <c r="F61" t="str">
        <f>IF(OR(ISBLANK('MH01 (2)'!F68),ISERROR('MH01 (2)'!F68)),"",'MH01 (2)'!F68)</f>
        <v/>
      </c>
      <c r="G61" t="str">
        <f>IF(OR(ISBLANK('MH01 (2)'!G68),ISERROR('MH01 (2)'!G68)),"",'MH01 (2)'!G68)</f>
        <v/>
      </c>
      <c r="H61" t="str">
        <f>IF(OR(ISBLANK('MH01 (2)'!H68),ISERROR('MH01 (2)'!H68)),"",'MH01 (2)'!H68)</f>
        <v/>
      </c>
      <c r="I61" t="str">
        <f>IF(OR(ISBLANK('MH01 (2)'!I68),ISERROR('MH01 (2)'!I68)),"",'MH01 (2)'!I68)</f>
        <v/>
      </c>
      <c r="J61" t="str">
        <f>IF(OR(ISBLANK('MH01 (2)'!J68),ISERROR('MH01 (2)'!J68)),"",'MH01 (2)'!J68)</f>
        <v/>
      </c>
      <c r="K61" t="str">
        <f>IF(OR(ISBLANK('MH01 (2)'!K68),ISERROR('MH01 (2)'!K68)),"",'MH01 (2)'!K68)</f>
        <v/>
      </c>
      <c r="L61" t="str">
        <f>IF(OR(ISBLANK('MH01 (2)'!L68),ISERROR('MH01 (2)'!L68)),"",'MH01 (2)'!L68)</f>
        <v/>
      </c>
    </row>
    <row r="62" spans="1:12" x14ac:dyDescent="0.2">
      <c r="A62" t="str">
        <f>IF(OR(ISBLANK('MH01 (2)'!A69),ISERROR('MH01 (2)'!A69)),"",'MH01 (2)'!A69)</f>
        <v/>
      </c>
      <c r="B62" s="924" t="str">
        <f>IF(OR(ISBLANK('MH01 (2)'!B69),ISERROR('MH01 (2)'!B69)),"",'MH01 (2)'!B69)</f>
        <v/>
      </c>
      <c r="C62" t="str">
        <f>IF(OR(ISBLANK('MH01 (2)'!C69),ISERROR('MH01 (2)'!C69)),"",'MH01 (2)'!C69)</f>
        <v/>
      </c>
      <c r="D62" t="str">
        <f>IF(OR(ISBLANK('MH01 (2)'!D69),ISERROR('MH01 (2)'!D69)),"",'MH01 (2)'!D69)</f>
        <v/>
      </c>
      <c r="E62" t="str">
        <f>IF(OR(ISBLANK('MH01 (2)'!E69),ISERROR('MH01 (2)'!E69)),"",'MH01 (2)'!E69)</f>
        <v/>
      </c>
      <c r="F62" t="str">
        <f>IF(OR(ISBLANK('MH01 (2)'!F69),ISERROR('MH01 (2)'!F69)),"",'MH01 (2)'!F69)</f>
        <v/>
      </c>
      <c r="G62" t="str">
        <f>IF(OR(ISBLANK('MH01 (2)'!G69),ISERROR('MH01 (2)'!G69)),"",'MH01 (2)'!G69)</f>
        <v/>
      </c>
      <c r="H62" t="str">
        <f>IF(OR(ISBLANK('MH01 (2)'!H69),ISERROR('MH01 (2)'!H69)),"",'MH01 (2)'!H69)</f>
        <v/>
      </c>
      <c r="I62" t="str">
        <f>IF(OR(ISBLANK('MH01 (2)'!I69),ISERROR('MH01 (2)'!I69)),"",'MH01 (2)'!I69)</f>
        <v/>
      </c>
      <c r="J62" t="str">
        <f>IF(OR(ISBLANK('MH01 (2)'!J69),ISERROR('MH01 (2)'!J69)),"",'MH01 (2)'!J69)</f>
        <v/>
      </c>
      <c r="K62" t="str">
        <f>IF(OR(ISBLANK('MH01 (2)'!K69),ISERROR('MH01 (2)'!K69)),"",'MH01 (2)'!K69)</f>
        <v/>
      </c>
      <c r="L62" t="str">
        <f>IF(OR(ISBLANK('MH01 (2)'!L69),ISERROR('MH01 (2)'!L69)),"",'MH01 (2)'!L69)</f>
        <v/>
      </c>
    </row>
  </sheetData>
  <sheetProtection algorithmName="SHA-512" hashValue="lCY9OGi6NRAfhsHgHCBCoo/k0H88AJTC/uAQtAngB0CnCGHnZS+x9NEqLJrFGr1AivHVLT+DX5yZUtyXsYXPVQ==" saltValue="3dN4L+siEohpcfVfW1tCZQ==" spinCount="100000" sheet="1"/>
  <mergeCells count="12">
    <mergeCell ref="D5:F5"/>
    <mergeCell ref="D6:F6"/>
    <mergeCell ref="D8:F8"/>
    <mergeCell ref="A2:C2"/>
    <mergeCell ref="Q10:R13"/>
    <mergeCell ref="A30:A31"/>
    <mergeCell ref="F30:G30"/>
    <mergeCell ref="I40:J40"/>
    <mergeCell ref="C15:D16"/>
    <mergeCell ref="E15:F15"/>
    <mergeCell ref="I16:K16"/>
    <mergeCell ref="C17:C18"/>
  </mergeCells>
  <hyperlinks>
    <hyperlink ref="A2:C2" location="INICIO!A1" display="&lt; Inicio"/>
  </hyperlinks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80"/>
  <sheetViews>
    <sheetView showGridLines="0" zoomScale="87" zoomScaleNormal="87" workbookViewId="0">
      <pane ySplit="2" topLeftCell="A3" activePane="bottomLeft" state="frozenSplit"/>
      <selection activeCell="B1" sqref="B1"/>
      <selection pane="bottomLeft" activeCell="A3" sqref="A3:C3"/>
    </sheetView>
  </sheetViews>
  <sheetFormatPr baseColWidth="10" defaultRowHeight="12.75" x14ac:dyDescent="0.2"/>
  <cols>
    <col min="1" max="1" width="1.5703125" style="1036" customWidth="1"/>
    <col min="2" max="2" width="2" style="1036" bestFit="1" customWidth="1"/>
    <col min="3" max="3" width="11.42578125" style="1036"/>
    <col min="4" max="4" width="17.5703125" style="1036" customWidth="1"/>
    <col min="5" max="5" width="11.140625" style="1036" customWidth="1"/>
    <col min="6" max="6" width="11.42578125" style="1036"/>
    <col min="7" max="7" width="5.85546875" style="1036" customWidth="1"/>
    <col min="8" max="8" width="12.140625" style="1036" customWidth="1"/>
    <col min="9" max="9" width="12.85546875" style="1036" customWidth="1"/>
    <col min="10" max="10" width="15" style="1036" customWidth="1"/>
    <col min="11" max="11" width="8.140625" style="1036" customWidth="1"/>
    <col min="12" max="12" width="6.28515625" style="1036" customWidth="1"/>
    <col min="13" max="13" width="12" style="1037" customWidth="1"/>
    <col min="14" max="14" width="11.42578125" style="1037"/>
    <col min="15" max="15" width="13.140625" style="1037" customWidth="1"/>
    <col min="16" max="16" width="12" style="1037" customWidth="1"/>
    <col min="17" max="20" width="11.42578125" style="1037"/>
    <col min="21" max="21" width="10.7109375" style="1037" customWidth="1"/>
    <col min="22" max="23" width="11.42578125" style="1037" customWidth="1"/>
    <col min="24" max="24" width="11.85546875" style="1038" customWidth="1"/>
    <col min="25" max="25" width="6.5703125" style="1037" customWidth="1"/>
    <col min="26" max="28" width="11.42578125" style="1037" customWidth="1"/>
    <col min="29" max="29" width="8.28515625" style="1037" customWidth="1"/>
    <col min="30" max="30" width="2" style="1037" customWidth="1"/>
    <col min="31" max="31" width="4" style="1037" customWidth="1"/>
    <col min="32" max="32" width="12.7109375" style="1037" customWidth="1"/>
    <col min="33" max="33" width="4" style="1037" customWidth="1"/>
    <col min="34" max="34" width="14.28515625" style="1037" customWidth="1"/>
    <col min="35" max="36" width="6" style="1037" customWidth="1"/>
    <col min="37" max="37" width="8.42578125" style="1037" customWidth="1"/>
    <col min="38" max="38" width="6.5703125" style="1037" customWidth="1"/>
    <col min="39" max="39" width="12" style="1037" customWidth="1"/>
    <col min="40" max="40" width="11" style="1037" customWidth="1"/>
    <col min="41" max="43" width="5.5703125" style="1037" customWidth="1"/>
    <col min="44" max="45" width="8.5703125" style="1037" customWidth="1"/>
    <col min="46" max="47" width="7.5703125" style="1037" customWidth="1"/>
    <col min="48" max="48" width="12.5703125" style="1037" customWidth="1"/>
    <col min="49" max="57" width="11.42578125" style="1037" customWidth="1"/>
    <col min="58" max="58" width="0.28515625" style="1037" customWidth="1"/>
    <col min="59" max="59" width="1.28515625" style="1038" customWidth="1"/>
    <col min="60" max="63" width="11.42578125" style="1037" customWidth="1"/>
    <col min="64" max="64" width="17.28515625" style="1037" customWidth="1"/>
    <col min="65" max="65" width="5" style="1037" customWidth="1"/>
    <col min="66" max="107" width="11.42578125" style="1037"/>
    <col min="108" max="16384" width="11.42578125" style="1036"/>
  </cols>
  <sheetData>
    <row r="1" spans="1:107" s="890" customFormat="1" ht="21.75" customHeight="1" thickBot="1" x14ac:dyDescent="0.25">
      <c r="B1" s="891" t="str">
        <f>INICIO!E1&amp; "   / Acuerdo entre dos observadores (variable binaria)"</f>
        <v>T2x2   / Acuerdo entre dos observadores (variable binaria)</v>
      </c>
      <c r="C1" s="892"/>
      <c r="D1" s="893"/>
      <c r="E1" s="894"/>
      <c r="F1" s="894"/>
      <c r="G1" s="1256"/>
      <c r="H1" s="1256"/>
      <c r="I1" s="895"/>
      <c r="J1" s="896"/>
      <c r="K1" s="897"/>
      <c r="L1" s="898"/>
      <c r="M1" s="897" t="str">
        <f>IF(OR(ISBLANK('MH01'!O1),ISERROR('MH01'!O1)),"",'MH01'!O1)</f>
        <v/>
      </c>
      <c r="N1" s="897" t="str">
        <f>IF(OR(ISBLANK('MH01'!P1),ISERROR('MH01'!P1)),"",'MH01'!P1)</f>
        <v/>
      </c>
    </row>
    <row r="2" spans="1:107" s="1250" customFormat="1" ht="11.25" x14ac:dyDescent="0.2">
      <c r="B2" s="1255" t="s">
        <v>565</v>
      </c>
      <c r="K2" s="1251"/>
      <c r="M2" s="1252"/>
      <c r="N2" s="1253"/>
      <c r="O2" s="1252"/>
      <c r="P2" s="1252"/>
      <c r="Q2" s="1252"/>
      <c r="R2" s="1252"/>
      <c r="S2" s="1252"/>
      <c r="T2" s="1252"/>
      <c r="U2" s="1252"/>
      <c r="V2" s="1252"/>
      <c r="W2" s="1252"/>
      <c r="X2" s="1252"/>
      <c r="Y2" s="1252"/>
      <c r="Z2" s="1252"/>
      <c r="AA2" s="1252"/>
      <c r="AB2" s="1252"/>
      <c r="AC2" s="1252"/>
      <c r="AD2" s="1252"/>
      <c r="AE2" s="1252"/>
      <c r="AF2" s="1252"/>
      <c r="AG2" s="1252"/>
      <c r="AH2" s="1252"/>
      <c r="AI2" s="1252"/>
      <c r="AJ2" s="1252"/>
      <c r="AK2" s="1252"/>
      <c r="AL2" s="1252"/>
      <c r="AM2" s="1252"/>
      <c r="AN2" s="1252"/>
      <c r="AO2" s="1252"/>
      <c r="AP2" s="1252"/>
      <c r="AQ2" s="1252"/>
      <c r="AR2" s="1252"/>
      <c r="AS2" s="1252"/>
      <c r="AT2" s="1252"/>
      <c r="AU2" s="1252"/>
      <c r="AV2" s="1252"/>
      <c r="AW2" s="1252"/>
      <c r="AX2" s="1252"/>
      <c r="AY2" s="1252"/>
      <c r="AZ2" s="1252"/>
      <c r="BA2" s="1252"/>
      <c r="BB2" s="1252"/>
      <c r="BC2" s="1252"/>
      <c r="BD2" s="1252"/>
      <c r="BE2" s="1252"/>
      <c r="BF2" s="1252"/>
      <c r="BG2" s="1254"/>
      <c r="BH2" s="1252"/>
      <c r="BI2" s="1252"/>
      <c r="BJ2" s="1252"/>
      <c r="BK2" s="1252"/>
      <c r="BL2" s="1252"/>
      <c r="BM2" s="1252"/>
      <c r="BN2" s="1252"/>
      <c r="BO2" s="1252"/>
      <c r="BP2" s="1252"/>
      <c r="BQ2" s="1252"/>
      <c r="BR2" s="1252"/>
      <c r="BS2" s="1252"/>
      <c r="BT2" s="1252"/>
      <c r="BU2" s="1252"/>
      <c r="BV2" s="1252"/>
      <c r="BW2" s="1252"/>
      <c r="BX2" s="1252"/>
      <c r="BY2" s="1252"/>
      <c r="BZ2" s="1252"/>
      <c r="CA2" s="1252"/>
      <c r="CB2" s="1252"/>
      <c r="CC2" s="1252"/>
      <c r="CD2" s="1252"/>
      <c r="CE2" s="1252"/>
      <c r="CF2" s="1252"/>
      <c r="CG2" s="1252"/>
      <c r="CH2" s="1252"/>
      <c r="CI2" s="1252"/>
      <c r="CJ2" s="1252"/>
      <c r="CK2" s="1252"/>
      <c r="CL2" s="1252"/>
      <c r="CM2" s="1252"/>
      <c r="CN2" s="1252"/>
      <c r="CO2" s="1252"/>
      <c r="CP2" s="1252"/>
      <c r="CQ2" s="1252"/>
      <c r="CR2" s="1252"/>
      <c r="CS2" s="1252"/>
      <c r="CT2" s="1252"/>
      <c r="CU2" s="1252"/>
      <c r="CV2" s="1252"/>
      <c r="CW2" s="1252"/>
      <c r="CX2" s="1252"/>
      <c r="CY2" s="1252"/>
      <c r="CZ2" s="1252"/>
      <c r="DA2" s="1252"/>
      <c r="DB2" s="1252"/>
      <c r="DC2" s="1252"/>
    </row>
    <row r="3" spans="1:107" s="1039" customFormat="1" ht="18" customHeight="1" x14ac:dyDescent="0.2">
      <c r="A3" s="1334" t="s">
        <v>422</v>
      </c>
      <c r="B3" s="1334"/>
      <c r="C3" s="1334"/>
      <c r="D3" s="1043"/>
      <c r="E3" s="1043"/>
      <c r="F3" s="1043"/>
      <c r="G3" s="1043"/>
      <c r="H3" s="1043"/>
      <c r="I3" s="1043"/>
      <c r="J3" s="1043"/>
      <c r="K3" s="1043"/>
      <c r="L3" s="1040"/>
      <c r="M3" s="1044"/>
      <c r="N3" s="1045"/>
      <c r="O3" s="1045"/>
      <c r="P3" s="1045"/>
      <c r="Q3" s="1041"/>
      <c r="R3" s="1041"/>
      <c r="S3" s="1041"/>
      <c r="T3" s="1041"/>
      <c r="U3" s="1041"/>
      <c r="V3" s="1041"/>
      <c r="W3" s="1041"/>
      <c r="X3" s="1041"/>
      <c r="Y3" s="1041"/>
      <c r="Z3" s="1041"/>
      <c r="AA3" s="1041"/>
      <c r="AB3" s="1041"/>
      <c r="AC3" s="1041"/>
      <c r="AD3" s="1041"/>
      <c r="AE3" s="1041"/>
      <c r="AF3" s="1041"/>
      <c r="AG3" s="1041"/>
      <c r="AH3" s="1041"/>
      <c r="AI3" s="1041"/>
      <c r="AJ3" s="1041"/>
      <c r="AK3" s="1041"/>
      <c r="AL3" s="1041"/>
      <c r="AM3" s="1041"/>
      <c r="AN3" s="1041"/>
      <c r="AO3" s="1041"/>
      <c r="AP3" s="1041"/>
      <c r="AQ3" s="1041"/>
      <c r="AR3" s="1041"/>
      <c r="AS3" s="1041"/>
      <c r="AT3" s="1041"/>
      <c r="AU3" s="1041"/>
      <c r="AV3" s="1041"/>
      <c r="AW3" s="1041"/>
      <c r="AX3" s="1041"/>
      <c r="AY3" s="1041"/>
      <c r="AZ3" s="1041"/>
      <c r="BA3" s="1041"/>
      <c r="BB3" s="1041"/>
      <c r="BC3" s="1041"/>
      <c r="BD3" s="1041"/>
      <c r="BE3" s="1041"/>
      <c r="BF3" s="1041"/>
      <c r="BG3" s="1042"/>
      <c r="BH3" s="1041"/>
      <c r="BI3" s="1041"/>
      <c r="BJ3" s="1041"/>
      <c r="BK3" s="1041"/>
      <c r="BL3" s="1041"/>
      <c r="BM3" s="1041"/>
      <c r="BN3" s="1041"/>
      <c r="BO3" s="1041"/>
      <c r="BP3" s="1041"/>
      <c r="BQ3" s="1041"/>
      <c r="BR3" s="1041"/>
      <c r="BS3" s="1041"/>
      <c r="BT3" s="1041"/>
      <c r="BU3" s="1041"/>
      <c r="BV3" s="1041"/>
      <c r="BW3" s="1041"/>
      <c r="BX3" s="1041"/>
      <c r="BY3" s="1041"/>
      <c r="BZ3" s="1041"/>
      <c r="CA3" s="1041"/>
      <c r="CB3" s="1041"/>
      <c r="CC3" s="1041"/>
      <c r="CD3" s="1041"/>
      <c r="CE3" s="1041"/>
      <c r="CF3" s="1041"/>
      <c r="CG3" s="1041"/>
      <c r="CH3" s="1041"/>
      <c r="CI3" s="1041"/>
      <c r="CJ3" s="1041"/>
      <c r="CK3" s="1041"/>
      <c r="CL3" s="1041"/>
      <c r="CM3" s="1041"/>
      <c r="CN3" s="1041"/>
      <c r="CO3" s="1041"/>
      <c r="CP3" s="1041"/>
      <c r="CQ3" s="1041"/>
      <c r="CR3" s="1041"/>
      <c r="CS3" s="1041"/>
      <c r="CT3" s="1041"/>
      <c r="CU3" s="1041"/>
      <c r="CV3" s="1041"/>
      <c r="CW3" s="1041"/>
      <c r="CX3" s="1041"/>
      <c r="CY3" s="1041"/>
      <c r="CZ3" s="1041"/>
      <c r="DA3" s="1041"/>
      <c r="DB3" s="1041"/>
      <c r="DC3" s="1041"/>
    </row>
    <row r="4" spans="1:107" s="1046" customFormat="1" ht="12.75" customHeight="1" thickBot="1" x14ac:dyDescent="0.25">
      <c r="A4" s="1046" t="str">
        <f>IF(OR(ISBLANK('!'!A5),ISERROR('!'!A5)),"",'!'!A5)</f>
        <v/>
      </c>
      <c r="B4" s="1046" t="str">
        <f>IF(OR(ISBLANK('!'!B5),ISERROR('!'!B5)),"",'!'!B5)</f>
        <v/>
      </c>
      <c r="C4" s="1047"/>
      <c r="D4" s="1048"/>
      <c r="E4" s="1047" t="str">
        <f>IF(OR(ISBLANK('!'!E5),ISERROR('!'!E5)),"",'!'!E5)</f>
        <v/>
      </c>
      <c r="F4" s="1046" t="str">
        <f>IF(OR(ISBLANK('!'!F5),ISERROR('!'!F5)),"",'!'!F5)</f>
        <v/>
      </c>
      <c r="G4" s="1046" t="str">
        <f>IF(OR(ISBLANK('!'!G5),ISERROR('!'!G5)),"",'!'!G5)</f>
        <v/>
      </c>
      <c r="H4" s="1046" t="str">
        <f>IF(OR(ISBLANK('!'!H5),ISERROR('!'!H5)),"",'!'!H5)</f>
        <v/>
      </c>
      <c r="I4" s="1046" t="str">
        <f>IF(OR(ISBLANK('!'!I5),ISERROR('!'!I5)),"",'!'!I5)</f>
        <v/>
      </c>
      <c r="J4" s="1046" t="str">
        <f>IF(OR(ISBLANK('!'!J5),ISERROR('!'!J5)),"",'!'!J5)</f>
        <v/>
      </c>
      <c r="K4" s="1046" t="str">
        <f>IF(OR(ISBLANK('!'!K5),ISERROR('!'!K5)),"",'!'!K5)</f>
        <v/>
      </c>
      <c r="L4" s="1046" t="str">
        <f>IF(OR(ISBLANK('!'!L5),ISERROR('!'!L5)),"",'!'!L5)</f>
        <v/>
      </c>
      <c r="M4" s="1049"/>
      <c r="N4" s="1049"/>
      <c r="O4" s="1049"/>
      <c r="P4" s="1049"/>
      <c r="Q4" s="1050"/>
      <c r="R4" s="1050"/>
      <c r="S4" s="1050"/>
      <c r="T4" s="1050"/>
      <c r="U4" s="1050"/>
      <c r="V4" s="1050"/>
      <c r="W4" s="1050"/>
      <c r="X4" s="1050"/>
      <c r="Y4" s="1050"/>
      <c r="Z4" s="1050"/>
      <c r="AA4" s="1050"/>
      <c r="AB4" s="1050"/>
      <c r="AC4" s="1050"/>
      <c r="AD4" s="1050"/>
      <c r="AE4" s="1050"/>
      <c r="AF4" s="1050"/>
      <c r="AG4" s="1050"/>
      <c r="AH4" s="1050"/>
      <c r="AI4" s="1050"/>
      <c r="AJ4" s="1050"/>
      <c r="AK4" s="1050"/>
      <c r="AL4" s="1050"/>
      <c r="AM4" s="1050"/>
      <c r="AN4" s="1050"/>
      <c r="AO4" s="1050"/>
      <c r="AP4" s="1050"/>
      <c r="AQ4" s="1050"/>
      <c r="AR4" s="1050"/>
      <c r="AS4" s="1050"/>
      <c r="AT4" s="1050"/>
      <c r="AU4" s="1050"/>
      <c r="AV4" s="1050"/>
      <c r="AW4" s="1050"/>
      <c r="AX4" s="1050"/>
      <c r="AY4" s="1050"/>
      <c r="AZ4" s="1050"/>
      <c r="BA4" s="1050"/>
      <c r="BB4" s="1050"/>
      <c r="BC4" s="1050"/>
      <c r="BD4" s="1050"/>
      <c r="BE4" s="1050"/>
      <c r="BF4" s="1050"/>
      <c r="BG4" s="1051"/>
      <c r="BH4" s="1050"/>
      <c r="BI4" s="1050"/>
      <c r="BJ4" s="1050"/>
      <c r="BK4" s="1050"/>
      <c r="BL4" s="1050"/>
      <c r="BM4" s="1050"/>
      <c r="BN4" s="1050"/>
      <c r="BO4" s="1050"/>
      <c r="BP4" s="1050"/>
      <c r="BQ4" s="1050"/>
      <c r="BR4" s="1050"/>
      <c r="BS4" s="1050"/>
      <c r="BT4" s="1050"/>
      <c r="BU4" s="1050"/>
      <c r="BV4" s="1050"/>
      <c r="BW4" s="1050"/>
      <c r="BX4" s="1050"/>
      <c r="BY4" s="1050"/>
      <c r="BZ4" s="1050"/>
      <c r="CA4" s="1050"/>
      <c r="CB4" s="1050"/>
      <c r="CC4" s="1050"/>
      <c r="CD4" s="1050"/>
      <c r="CE4" s="1050"/>
      <c r="CF4" s="1050"/>
      <c r="CG4" s="1050"/>
      <c r="CH4" s="1050"/>
      <c r="CI4" s="1050"/>
      <c r="CJ4" s="1050"/>
      <c r="CK4" s="1050"/>
      <c r="CL4" s="1050"/>
      <c r="CM4" s="1050"/>
      <c r="CN4" s="1050"/>
      <c r="CO4" s="1050"/>
      <c r="CP4" s="1050"/>
      <c r="CQ4" s="1050"/>
      <c r="CR4" s="1050"/>
      <c r="CS4" s="1050"/>
      <c r="CT4" s="1050"/>
      <c r="CU4" s="1050"/>
      <c r="CV4" s="1050"/>
      <c r="CW4" s="1050"/>
      <c r="CX4" s="1050"/>
      <c r="CY4" s="1050"/>
      <c r="CZ4" s="1050"/>
      <c r="DA4" s="1050"/>
      <c r="DB4" s="1050"/>
      <c r="DC4" s="1050"/>
    </row>
    <row r="5" spans="1:107" ht="13.5" thickBot="1" x14ac:dyDescent="0.25">
      <c r="A5" s="1036" t="str">
        <f>IF(OR(ISBLANK('!'!A7),ISERROR('!'!A7)),"",'!'!A7)</f>
        <v/>
      </c>
      <c r="B5" s="1052">
        <f>IF(OR(ISBLANK('!'!B7),ISERROR('!'!B7)),"",'!'!B7)</f>
        <v>1</v>
      </c>
      <c r="C5" s="1053" t="str">
        <f>IF(OR(ISBLANK('!'!C7),ISERROR('!'!C7)),"",'!'!C7)</f>
        <v>Datos</v>
      </c>
      <c r="D5" s="1054" t="str">
        <f>IF(OR(ISBLANK('!'!D7),ISERROR('!'!D7)),"",'!'!D7)</f>
        <v>Matriz de clasificación 2x2. Si un observador es un estándar, debe de aparecer por filas</v>
      </c>
      <c r="E5" s="1054"/>
      <c r="F5" s="1054"/>
      <c r="G5" s="1054"/>
      <c r="H5" s="1054"/>
      <c r="I5" s="1054"/>
      <c r="J5" s="1054"/>
      <c r="K5" s="1054"/>
      <c r="L5" s="1054" t="str">
        <f>IF(OR(ISBLANK('!'!L7),ISERROR('!'!L7)),"",'!'!L7)</f>
        <v/>
      </c>
      <c r="M5" s="1055"/>
      <c r="N5" s="1347" t="s">
        <v>566</v>
      </c>
      <c r="O5" s="1347"/>
      <c r="P5" s="1055"/>
      <c r="X5" s="1037"/>
      <c r="AN5" s="1056"/>
      <c r="AO5" s="1057"/>
      <c r="AP5" s="1057"/>
      <c r="AQ5" s="1058"/>
      <c r="AR5" s="1059"/>
      <c r="AS5" s="1060"/>
      <c r="AV5" s="1061"/>
      <c r="AW5" s="1057"/>
      <c r="AX5" s="1057"/>
      <c r="AY5" s="1057"/>
      <c r="AZ5" s="1057"/>
      <c r="BA5" s="1057"/>
      <c r="BB5" s="1057"/>
      <c r="BC5" s="1058"/>
      <c r="BF5" s="1348"/>
    </row>
    <row r="6" spans="1:107" ht="13.5" thickBot="1" x14ac:dyDescent="0.25">
      <c r="A6" s="1036" t="str">
        <f>IF(OR(ISBLANK('!'!A8),ISERROR('!'!A8)),"",'!'!A8)</f>
        <v/>
      </c>
      <c r="B6" s="1036" t="str">
        <f>IF(OR(ISBLANK('!'!B8),ISERROR('!'!B8)),"",'!'!B8)</f>
        <v/>
      </c>
      <c r="C6" s="1062" t="str">
        <f>IF(OR(ISBLANK('!'!C8),ISERROR('!'!C8)),"",'!'!C8)</f>
        <v/>
      </c>
      <c r="D6" s="1036" t="str">
        <f>IF(OR(ISBLANK('!'!D8),ISERROR('!'!D8)),"",'!'!D8)</f>
        <v/>
      </c>
      <c r="E6" s="1036" t="str">
        <f>IF(OR(ISBLANK('!'!E8),ISERROR('!'!E8)),"",'!'!E8)</f>
        <v/>
      </c>
      <c r="F6" s="1036" t="str">
        <f>IF(OR(ISBLANK('!'!F8),ISERROR('!'!F8)),"",'!'!F8)</f>
        <v/>
      </c>
      <c r="G6" s="1036" t="str">
        <f>IF(OR(ISBLANK('!'!G8),ISERROR('!'!G8)),"",'!'!G8)</f>
        <v/>
      </c>
      <c r="H6" s="1036" t="str">
        <f>IF(OR(ISBLANK('!'!H8),ISERROR('!'!H8)),"",'!'!H8)</f>
        <v/>
      </c>
      <c r="I6" s="1036" t="str">
        <f>IF(OR(ISBLANK('!'!#REF!),ISERROR('!'!#REF!)),"",'!'!#REF!)</f>
        <v/>
      </c>
      <c r="J6" s="1036" t="str">
        <f>IF(OR(ISBLANK('!'!#REF!),ISERROR('!'!#REF!)),"",'!'!#REF!)</f>
        <v/>
      </c>
      <c r="K6" s="1036" t="str">
        <f>IF(OR(ISBLANK('!'!K8),ISERROR('!'!K8)),"",'!'!K8)</f>
        <v/>
      </c>
      <c r="L6" s="1036" t="str">
        <f>IF(OR(ISBLANK('!'!L8),ISERROR('!'!L8)),"",'!'!L8)</f>
        <v/>
      </c>
      <c r="M6" s="1055"/>
      <c r="N6" s="1055"/>
      <c r="O6" s="1055"/>
      <c r="P6" s="1055"/>
      <c r="Q6" s="1063"/>
      <c r="R6" s="1063"/>
      <c r="X6" s="1037"/>
      <c r="AN6" s="1064"/>
      <c r="AO6" s="1060"/>
      <c r="AP6" s="1060"/>
      <c r="AQ6" s="1065"/>
      <c r="AR6" s="1066"/>
      <c r="AS6" s="1060"/>
      <c r="AV6" s="1061"/>
      <c r="AW6" s="1057"/>
      <c r="AX6" s="1057"/>
      <c r="AY6" s="1057"/>
      <c r="AZ6" s="1057"/>
      <c r="BA6" s="1057"/>
      <c r="BB6" s="1057"/>
      <c r="BC6" s="1058"/>
      <c r="BF6" s="1348"/>
    </row>
    <row r="7" spans="1:107" s="1067" customFormat="1" ht="13.5" thickBot="1" x14ac:dyDescent="0.25">
      <c r="A7" s="1067" t="str">
        <f>IF(OR(ISBLANK('!'!A9),ISERROR('!'!A9)),"",'!'!A9)</f>
        <v/>
      </c>
      <c r="B7" s="1067" t="str">
        <f>IF(OR(ISBLANK('!'!B9),ISERROR('!'!B9)),"",'!'!B9)</f>
        <v/>
      </c>
      <c r="C7" s="1068" t="str">
        <f>IF(OR(ISBLANK('!'!C9),ISERROR('!'!C9)),"",'!'!C9)</f>
        <v/>
      </c>
      <c r="D7" s="1036" t="str">
        <f>IF(OR(ISBLANK('!'!D9),ISERROR('!'!D9)),"",'!'!D9)</f>
        <v/>
      </c>
      <c r="E7" s="1067" t="str">
        <f>IF(OR(ISBLANK('!'!E9),ISERROR('!'!E9)),"",'!'!E9)</f>
        <v>C1</v>
      </c>
      <c r="F7" s="1067" t="str">
        <f>IF(OR(ISBLANK('!'!F9),ISERROR('!'!F9)),"",'!'!F9)</f>
        <v>C2</v>
      </c>
      <c r="G7" s="1036" t="str">
        <f>IF(OR(ISBLANK('!'!G9),ISERROR('!'!G9)),"",'!'!G9)</f>
        <v/>
      </c>
      <c r="M7" s="1055"/>
      <c r="N7" s="1069"/>
      <c r="O7" s="1055"/>
      <c r="P7" s="1055"/>
      <c r="Q7" s="1070"/>
      <c r="R7" s="1037"/>
      <c r="S7" s="1037"/>
      <c r="T7" s="1037"/>
      <c r="U7" s="1037"/>
      <c r="V7" s="1037"/>
      <c r="W7" s="1037"/>
      <c r="X7" s="1037"/>
      <c r="Y7" s="1037"/>
      <c r="Z7" s="1037"/>
      <c r="AA7" s="1037"/>
      <c r="AB7" s="1037"/>
      <c r="AC7" s="1037"/>
      <c r="AD7" s="1037"/>
      <c r="AE7" s="1037"/>
      <c r="AF7" s="1037"/>
      <c r="AG7" s="1037"/>
      <c r="AH7" s="1037"/>
      <c r="AI7" s="1037"/>
      <c r="AJ7" s="1037"/>
      <c r="AK7" s="1071"/>
      <c r="AL7" s="1072"/>
      <c r="AM7" s="1072"/>
      <c r="AN7" s="1073"/>
      <c r="AO7" s="1074"/>
      <c r="AP7" s="1074"/>
      <c r="AQ7" s="1075"/>
      <c r="AR7" s="1076"/>
      <c r="AS7" s="1074"/>
      <c r="AT7" s="1071"/>
      <c r="AU7" s="1071"/>
      <c r="AV7" s="1077"/>
      <c r="AW7" s="1078"/>
      <c r="AX7" s="1078"/>
      <c r="AY7" s="1078"/>
      <c r="AZ7" s="1078"/>
      <c r="BA7" s="1078"/>
      <c r="BB7" s="1078"/>
      <c r="BC7" s="1079"/>
      <c r="BD7" s="1071"/>
      <c r="BE7" s="1072"/>
      <c r="BF7" s="1348"/>
      <c r="BG7" s="1080"/>
      <c r="BH7" s="1071"/>
      <c r="BI7" s="1071"/>
      <c r="BJ7" s="1071"/>
      <c r="BK7" s="1071"/>
      <c r="BL7" s="1071"/>
      <c r="BM7" s="1071"/>
      <c r="BN7" s="1071"/>
      <c r="BO7" s="1071"/>
      <c r="BP7" s="1071"/>
      <c r="BQ7" s="1071"/>
      <c r="BR7" s="1071"/>
      <c r="BS7" s="1071"/>
      <c r="BT7" s="1071"/>
      <c r="BU7" s="1071"/>
      <c r="BV7" s="1071"/>
      <c r="BW7" s="1071"/>
      <c r="BX7" s="1071"/>
      <c r="BY7" s="1071"/>
      <c r="BZ7" s="1071"/>
      <c r="CA7" s="1071"/>
      <c r="CB7" s="1071"/>
      <c r="CC7" s="1071"/>
      <c r="CD7" s="1071"/>
      <c r="CE7" s="1071"/>
      <c r="CF7" s="1071"/>
      <c r="CG7" s="1071"/>
      <c r="CH7" s="1071"/>
      <c r="CI7" s="1071"/>
      <c r="CJ7" s="1071"/>
      <c r="CK7" s="1071"/>
      <c r="CL7" s="1071"/>
      <c r="CM7" s="1071"/>
      <c r="CN7" s="1071"/>
      <c r="CO7" s="1071"/>
      <c r="CP7" s="1071"/>
      <c r="CQ7" s="1071"/>
      <c r="CR7" s="1071"/>
      <c r="CS7" s="1071"/>
      <c r="CT7" s="1071"/>
      <c r="CU7" s="1071"/>
      <c r="CV7" s="1071"/>
      <c r="CW7" s="1071"/>
      <c r="CX7" s="1071"/>
      <c r="CY7" s="1071"/>
      <c r="CZ7" s="1071"/>
      <c r="DA7" s="1071"/>
      <c r="DB7" s="1071"/>
      <c r="DC7" s="1071"/>
    </row>
    <row r="8" spans="1:107" x14ac:dyDescent="0.2">
      <c r="A8" s="1036" t="str">
        <f>IF(OR(ISBLANK('!'!A10),ISERROR('!'!A10)),"",'!'!A10)</f>
        <v/>
      </c>
      <c r="B8" s="1036" t="str">
        <f>IF(OR(ISBLANK('!'!B10),ISERROR('!'!B10)),"",'!'!B10)</f>
        <v/>
      </c>
      <c r="C8" s="1068" t="str">
        <f>IF(OR(ISBLANK('!'!C10),ISERROR('!'!C10)),"",'!'!C10)</f>
        <v/>
      </c>
      <c r="D8" s="1067" t="str">
        <f>IF(OR(ISBLANK('!'!D10),ISERROR('!'!D10)),"",'!'!D10)</f>
        <v>R1</v>
      </c>
      <c r="E8" s="1081">
        <v>10</v>
      </c>
      <c r="F8" s="1081">
        <v>3</v>
      </c>
      <c r="G8" s="1082">
        <f>IF(OR(ISBLANK('!'!G10),ISERROR('!'!G10)),"",'!'!G10)</f>
        <v>13</v>
      </c>
      <c r="H8" s="1036" t="str">
        <f>IF(OR(ISBLANK('!'!H10),ISERROR('!'!H10)),"",'!'!H10)</f>
        <v/>
      </c>
      <c r="M8" s="1055"/>
      <c r="N8" s="1069"/>
      <c r="O8" s="1055"/>
      <c r="P8" s="1055"/>
      <c r="Q8" s="1070"/>
      <c r="R8" s="1083"/>
      <c r="X8" s="1037"/>
      <c r="AN8" s="1084"/>
      <c r="AO8" s="1085"/>
      <c r="AP8" s="1085"/>
      <c r="AQ8" s="1086"/>
      <c r="AR8" s="1087"/>
      <c r="AS8" s="1085"/>
      <c r="AT8" s="1088"/>
      <c r="AU8" s="1088"/>
      <c r="AV8" s="1089"/>
      <c r="AW8" s="1090"/>
      <c r="AX8" s="1060"/>
      <c r="AY8" s="1060"/>
      <c r="AZ8" s="1060"/>
      <c r="BA8" s="1060"/>
      <c r="BB8" s="1060"/>
      <c r="BC8" s="1065"/>
    </row>
    <row r="9" spans="1:107" x14ac:dyDescent="0.2">
      <c r="A9" s="1036" t="str">
        <f>IF(OR(ISBLANK('!'!A11),ISERROR('!'!A11)),"",'!'!A11)</f>
        <v/>
      </c>
      <c r="B9" s="1036" t="str">
        <f>IF(OR(ISBLANK('!'!B11),ISERROR('!'!B11)),"",'!'!B11)</f>
        <v/>
      </c>
      <c r="C9" s="1068" t="str">
        <f>IF(OR(ISBLANK('!'!C11),ISERROR('!'!C11)),"",'!'!C11)</f>
        <v/>
      </c>
      <c r="D9" s="1067" t="str">
        <f>IF(OR(ISBLANK('!'!D11),ISERROR('!'!D11)),"",'!'!D11)</f>
        <v>R2</v>
      </c>
      <c r="E9" s="1081">
        <v>4</v>
      </c>
      <c r="F9" s="1081">
        <v>12</v>
      </c>
      <c r="G9" s="1082">
        <f>IF(OR(ISBLANK('!'!G11),ISERROR('!'!G11)),"",'!'!G11)</f>
        <v>16</v>
      </c>
      <c r="H9" s="1036" t="str">
        <f>IF(OR(ISBLANK('!'!H11),ISERROR('!'!H11)),"",'!'!H11)</f>
        <v/>
      </c>
      <c r="M9" s="1055"/>
      <c r="N9" s="1257" t="s">
        <v>469</v>
      </c>
      <c r="O9" s="1257" t="s">
        <v>470</v>
      </c>
      <c r="P9" s="1055"/>
      <c r="X9" s="1037"/>
      <c r="AN9" s="1084"/>
      <c r="AO9" s="1085"/>
      <c r="AP9" s="1085"/>
      <c r="AQ9" s="1086"/>
      <c r="AR9" s="1087"/>
      <c r="AS9" s="1085"/>
      <c r="AT9" s="1088"/>
      <c r="AU9" s="1088"/>
      <c r="AV9" s="1089"/>
      <c r="AW9" s="1090"/>
      <c r="AX9" s="1060"/>
      <c r="AY9" s="1060"/>
      <c r="AZ9" s="1060"/>
      <c r="BA9" s="1060"/>
      <c r="BB9" s="1060"/>
      <c r="BC9" s="1065"/>
    </row>
    <row r="10" spans="1:107" ht="13.5" thickBot="1" x14ac:dyDescent="0.25">
      <c r="A10" s="1036" t="str">
        <f>IF(OR(ISBLANK('!'!A12),ISERROR('!'!A12)),"",'!'!A12)</f>
        <v/>
      </c>
      <c r="B10" s="1036" t="str">
        <f>IF(OR(ISBLANK('!'!B12),ISERROR('!'!B12)),"",'!'!B12)</f>
        <v/>
      </c>
      <c r="C10" s="1068" t="str">
        <f>IF(OR(ISBLANK('!'!C12),ISERROR('!'!C12)),"",'!'!C12)</f>
        <v/>
      </c>
      <c r="D10" s="1036" t="str">
        <f>IF(OR(ISBLANK('!'!D12),ISERROR('!'!D12)),"",'!'!D12)</f>
        <v/>
      </c>
      <c r="E10" s="1036">
        <f>IF(OR(ISBLANK('!'!E12),ISERROR('!'!E12)),"",'!'!E12)</f>
        <v>14</v>
      </c>
      <c r="F10" s="1036">
        <f>IF(OR(ISBLANK('!'!F12),ISERROR('!'!F12)),"",'!'!F12)</f>
        <v>15</v>
      </c>
      <c r="G10" s="1082">
        <f>IF(OR(ISBLANK('!'!G12),ISERROR('!'!G12)),"",'!'!G12)</f>
        <v>29</v>
      </c>
      <c r="H10" s="1036" t="str">
        <f>IF(OR(ISBLANK('!'!H12),ISERROR('!'!H12)),"",'!'!H12)</f>
        <v/>
      </c>
      <c r="M10" s="1055"/>
      <c r="N10" s="1055"/>
      <c r="O10" s="1055"/>
      <c r="P10" s="1055"/>
      <c r="X10" s="1037"/>
      <c r="AN10" s="1092"/>
      <c r="AO10" s="1093"/>
      <c r="AP10" s="1093"/>
      <c r="AQ10" s="1094"/>
      <c r="AR10" s="1095"/>
      <c r="AS10" s="1060"/>
      <c r="AV10" s="1092"/>
      <c r="AW10" s="1093"/>
      <c r="AX10" s="1093"/>
      <c r="AY10" s="1093"/>
      <c r="AZ10" s="1093"/>
      <c r="BA10" s="1093"/>
      <c r="BB10" s="1093"/>
      <c r="BC10" s="1094"/>
      <c r="BD10" s="1060"/>
    </row>
    <row r="11" spans="1:107" x14ac:dyDescent="0.2">
      <c r="A11" s="1036" t="str">
        <f>IF(OR(ISBLANK('!'!A13),ISERROR('!'!A13)),"",'!'!A13)</f>
        <v/>
      </c>
      <c r="B11" s="1036" t="str">
        <f>IF(OR(ISBLANK('!'!B13),ISERROR('!'!B13)),"",'!'!B13)</f>
        <v/>
      </c>
      <c r="C11" s="1068" t="str">
        <f>IF(OR(ISBLANK('!'!C13),ISERROR('!'!C13)),"",'!'!C13)</f>
        <v/>
      </c>
      <c r="D11" s="1096" t="str">
        <f>IF(OR(ISBLANK('!'!D13),ISERROR('!'!D13)),"",'!'!D13)</f>
        <v>Tipo de problema</v>
      </c>
      <c r="E11" s="1097" t="str">
        <f>IF(OR(ISBLANK('!'!E13),ISERROR('!'!E13)),"",'!'!E13)</f>
        <v>Normal (2.2)</v>
      </c>
      <c r="F11" s="1097"/>
      <c r="G11" s="1098">
        <f>IF(OR(ISBLANK('!'!G13),ISERROR('!'!G13)),"",'!'!G13)</f>
        <v>2</v>
      </c>
      <c r="H11" s="1036" t="str">
        <f>IF(OR(ISBLANK('!'!H13),ISERROR('!'!H13)),"",'!'!H13)</f>
        <v/>
      </c>
      <c r="I11" s="1099"/>
      <c r="J11" s="1099"/>
      <c r="K11" s="1100"/>
      <c r="L11" s="1036" t="str">
        <f>IF(OR(ISBLANK('!'!L13),ISERROR('!'!L13)),"",'!'!L13)</f>
        <v/>
      </c>
      <c r="M11" s="1055"/>
      <c r="N11" s="1055"/>
      <c r="O11" s="1055"/>
      <c r="P11" s="1055"/>
      <c r="X11" s="1037"/>
      <c r="AN11" s="1060"/>
      <c r="AO11" s="1060"/>
      <c r="AP11" s="1060"/>
      <c r="AQ11" s="1060"/>
      <c r="AR11" s="1060"/>
      <c r="AS11" s="1060"/>
      <c r="AV11" s="1060"/>
      <c r="AW11" s="1060"/>
      <c r="AX11" s="1060"/>
      <c r="AY11" s="1060"/>
      <c r="AZ11" s="1060"/>
      <c r="BA11" s="1060"/>
      <c r="BB11" s="1060"/>
      <c r="BC11" s="1060"/>
      <c r="BD11" s="1060"/>
    </row>
    <row r="12" spans="1:107" x14ac:dyDescent="0.2">
      <c r="A12" s="1036" t="str">
        <f>IF(OR(ISBLANK('!'!A14),ISERROR('!'!A14)),"",'!'!A14)</f>
        <v/>
      </c>
      <c r="B12" s="1036" t="str">
        <f>IF(OR(ISBLANK('!'!B14),ISERROR('!'!B14)),"",'!'!B14)</f>
        <v/>
      </c>
      <c r="C12" s="1068" t="str">
        <f>IF(OR(ISBLANK('!'!C14),ISERROR('!'!C14)),"",'!'!C14)</f>
        <v/>
      </c>
      <c r="D12" s="1096" t="str">
        <f>IF(OR(ISBLANK('!'!D14),ISERROR('!'!D14)),"",'!'!D14)</f>
        <v>Kappa (SE)=</v>
      </c>
      <c r="E12" s="1101">
        <f>IF(OR(ISBLANK('!'!E14),ISERROR('!'!E14)),"",'!'!E14)</f>
        <v>0.51551312649164682</v>
      </c>
      <c r="F12" s="1102">
        <f>IF(OR(ISBLANK('!'!F14),ISERROR('!'!F14)),"",'!'!F14)</f>
        <v>0.15902543198590346</v>
      </c>
      <c r="M12" s="1055"/>
      <c r="N12" s="1055"/>
      <c r="O12" s="1055"/>
      <c r="P12" s="1055"/>
      <c r="X12" s="1037"/>
      <c r="AN12" s="1060"/>
      <c r="AO12" s="1060"/>
      <c r="AP12" s="1060"/>
      <c r="AQ12" s="1060"/>
      <c r="AR12" s="1060"/>
      <c r="AS12" s="1060"/>
      <c r="AV12" s="1060"/>
      <c r="AW12" s="1060"/>
      <c r="AX12" s="1060"/>
      <c r="AY12" s="1060"/>
      <c r="AZ12" s="1060"/>
      <c r="BA12" s="1060"/>
      <c r="BB12" s="1060"/>
      <c r="BC12" s="1060"/>
      <c r="BD12" s="1060"/>
    </row>
    <row r="13" spans="1:107" x14ac:dyDescent="0.2">
      <c r="A13" s="1036" t="str">
        <f>IF(OR(ISBLANK('!'!A15),ISERROR('!'!A15)),"",'!'!A15)</f>
        <v/>
      </c>
      <c r="B13" s="1036" t="str">
        <f>IF(OR(ISBLANK('!'!B15),ISERROR('!'!B15)),"",'!'!B15)</f>
        <v/>
      </c>
      <c r="C13" s="1068" t="str">
        <f>IF(OR(ISBLANK('!'!C15),ISERROR('!'!C15)),"",'!'!C15)</f>
        <v/>
      </c>
      <c r="D13" s="1349" t="str">
        <f>'!'!G14</f>
        <v/>
      </c>
      <c r="E13" s="1349"/>
      <c r="F13" s="1349"/>
      <c r="G13" s="1349"/>
      <c r="H13" s="1349"/>
      <c r="I13" s="1349"/>
      <c r="J13" s="1103"/>
      <c r="K13" s="1100"/>
      <c r="L13" s="1036" t="str">
        <f>IF(OR(ISBLANK('!'!L15),ISERROR('!'!L15)),"",'!'!L15)</f>
        <v/>
      </c>
      <c r="M13" s="1055"/>
      <c r="N13" s="1055"/>
      <c r="O13" s="1055"/>
      <c r="P13" s="1055"/>
      <c r="X13" s="1037"/>
      <c r="AN13" s="1060"/>
      <c r="AO13" s="1060"/>
      <c r="AP13" s="1060"/>
      <c r="AQ13" s="1060"/>
      <c r="AR13" s="1060"/>
      <c r="AS13" s="1060"/>
      <c r="AV13" s="1060"/>
      <c r="AW13" s="1060"/>
      <c r="AX13" s="1060"/>
      <c r="AY13" s="1060"/>
      <c r="AZ13" s="1060"/>
      <c r="BA13" s="1060"/>
      <c r="BB13" s="1060"/>
      <c r="BC13" s="1060"/>
      <c r="BD13" s="1060"/>
    </row>
    <row r="14" spans="1:107" ht="13.5" thickBot="1" x14ac:dyDescent="0.25">
      <c r="A14" s="1036" t="str">
        <f>IF(OR(ISBLANK('!'!A16),ISERROR('!'!A16)),"",'!'!A16)</f>
        <v/>
      </c>
      <c r="B14" s="1052">
        <f>IF(OR(ISBLANK('!'!B16),ISERROR('!'!B16)),"",'!'!B16)</f>
        <v>2</v>
      </c>
      <c r="C14" s="1053" t="s">
        <v>527</v>
      </c>
      <c r="D14" s="1054" t="str">
        <f>IF(OR(ISBLANK('!'!D16),ISERROR('!'!D16)),"",'!'!D16)</f>
        <v/>
      </c>
      <c r="E14" s="1054" t="str">
        <f>IF(OR(ISBLANK('!'!E16),ISERROR('!'!E16)),"",'!'!E16)</f>
        <v/>
      </c>
      <c r="F14" s="1054" t="str">
        <f>IF(OR(ISBLANK('!'!F16),ISERROR('!'!F16)),"",'!'!F16)</f>
        <v/>
      </c>
      <c r="G14" s="1054"/>
      <c r="H14" s="1054" t="str">
        <f>IF(OR(ISBLANK('!'!H16),ISERROR('!'!H16)),"",'!'!H16)</f>
        <v/>
      </c>
      <c r="I14" s="1054" t="str">
        <f>IF(OR(ISBLANK('!'!I16),ISERROR('!'!I16)),"",'!'!I16)</f>
        <v/>
      </c>
      <c r="J14" s="1054" t="str">
        <f>IF(OR(ISBLANK('!'!J16),ISERROR('!'!J16)),"",'!'!J16)</f>
        <v/>
      </c>
      <c r="K14" s="1054" t="str">
        <f>IF(OR(ISBLANK('!'!K16),ISERROR('!'!K16)),"",'!'!K16)</f>
        <v/>
      </c>
      <c r="L14" s="1054" t="str">
        <f>IF(OR(ISBLANK('!'!L16),ISERROR('!'!L16)),"",'!'!L16)</f>
        <v/>
      </c>
      <c r="M14" s="1055"/>
      <c r="N14" s="1257" t="s">
        <v>471</v>
      </c>
      <c r="O14" s="1091"/>
      <c r="P14" s="1055"/>
      <c r="X14" s="1037"/>
      <c r="AV14" s="1060"/>
      <c r="AW14" s="1060"/>
      <c r="AX14" s="1060"/>
      <c r="AY14" s="1060"/>
      <c r="AZ14" s="1060"/>
      <c r="BA14" s="1060"/>
      <c r="BB14" s="1060"/>
      <c r="BC14" s="1060"/>
      <c r="BD14" s="1060"/>
    </row>
    <row r="15" spans="1:107" x14ac:dyDescent="0.2">
      <c r="A15" s="1036" t="str">
        <f>IF(OR(ISBLANK('!'!A17),ISERROR('!'!A17)),"",'!'!A17)</f>
        <v/>
      </c>
      <c r="B15" s="1036" t="str">
        <f>IF(OR(ISBLANK('!'!B17),ISERROR('!'!B17)),"",'!'!B17)</f>
        <v/>
      </c>
      <c r="C15" s="1068" t="str">
        <f>IF(OR(ISBLANK('!'!C17),ISERROR('!'!C17)),"",'!'!C17)</f>
        <v/>
      </c>
      <c r="D15" s="1062" t="str">
        <f>IF(OR(ISBLANK('!'!D17),ISERROR('!'!D17)),"",'!'!D17)</f>
        <v>Tipo de muestreo</v>
      </c>
      <c r="E15" s="1104" t="s">
        <v>112</v>
      </c>
      <c r="F15" s="1096"/>
      <c r="G15" s="1105"/>
      <c r="I15" s="1106" t="str">
        <f>IF(OR(ISBLANK('!'!I17),ISERROR('!'!I17)),"",'!'!I17)</f>
        <v>Destacar las medidas válidas</v>
      </c>
      <c r="L15" s="1036" t="str">
        <f>IF(OR(ISBLANK('!'!L17),ISERROR('!'!L17)),"",'!'!L17)</f>
        <v/>
      </c>
      <c r="M15" s="1055"/>
      <c r="N15" s="1055"/>
      <c r="O15" s="1055"/>
      <c r="P15" s="1055"/>
      <c r="X15" s="1037"/>
      <c r="AV15" s="1060"/>
      <c r="AW15" s="1060"/>
      <c r="AX15" s="1060"/>
      <c r="AY15" s="1060"/>
      <c r="AZ15" s="1060"/>
      <c r="BA15" s="1060"/>
      <c r="BB15" s="1060"/>
      <c r="BC15" s="1060"/>
      <c r="BD15" s="1060"/>
    </row>
    <row r="16" spans="1:107" x14ac:dyDescent="0.2">
      <c r="A16" s="1036" t="str">
        <f>IF(OR(ISBLANK('!'!A18),ISERROR('!'!A18)),"",'!'!A18)</f>
        <v/>
      </c>
      <c r="B16" s="1036" t="str">
        <f>IF(OR(ISBLANK('!'!B18),ISERROR('!'!B18)),"",'!'!B18)</f>
        <v/>
      </c>
      <c r="C16" s="1068" t="str">
        <f>IF(OR(ISBLANK('!'!C18),ISERROR('!'!C18)),"",'!'!C18)</f>
        <v/>
      </c>
      <c r="D16" s="1062" t="str">
        <f>IF(OR(ISBLANK('!'!D18),ISERROR('!'!D18)),"",'!'!D18)</f>
        <v>R es un estándar</v>
      </c>
      <c r="E16" s="1107" t="s">
        <v>472</v>
      </c>
      <c r="F16" s="1096"/>
      <c r="I16" s="1104" t="s">
        <v>472</v>
      </c>
      <c r="J16" s="1097"/>
      <c r="L16" s="1036" t="str">
        <f>IF(OR(ISBLANK('!'!L18),ISERROR('!'!L18)),"",'!'!L18)</f>
        <v/>
      </c>
      <c r="X16" s="1037"/>
      <c r="AV16" s="1060"/>
      <c r="AW16" s="1060"/>
      <c r="AX16" s="1060"/>
      <c r="AY16" s="1060"/>
      <c r="AZ16" s="1060"/>
      <c r="BA16" s="1060"/>
      <c r="BB16" s="1060"/>
      <c r="BC16" s="1060"/>
      <c r="BD16" s="1060"/>
    </row>
    <row r="17" spans="1:56" x14ac:dyDescent="0.2">
      <c r="A17" s="1036" t="str">
        <f>IF(OR(ISBLANK('!'!A19),ISERROR('!'!A19)),"",'!'!A19)</f>
        <v/>
      </c>
      <c r="B17" s="1036" t="str">
        <f>IF(OR(ISBLANK('!'!B19),ISERROR('!'!B19)),"",'!'!B19)</f>
        <v/>
      </c>
      <c r="C17" s="1068" t="str">
        <f>IF(OR(ISBLANK('!'!C19),ISERROR('!'!C19)),"",'!'!C19)</f>
        <v/>
      </c>
      <c r="D17" s="1062" t="str">
        <f>IF(OR(ISBLANK('!'!D19),ISERROR('!'!D19)),"",'!'!D19)</f>
        <v>Tipo asintótico</v>
      </c>
      <c r="E17" s="1104">
        <v>0</v>
      </c>
      <c r="F17" s="1108"/>
      <c r="I17" s="1109" t="str">
        <f>IF(OR(ISBLANK('!'!I19),ISERROR('!'!I19)),"",'!'!I19)</f>
        <v xml:space="preserve">Las medidas validas están destacadas </v>
      </c>
      <c r="L17" s="1036" t="str">
        <f>IF(OR(ISBLANK('!'!L19),ISERROR('!'!L19)),"",'!'!L19)</f>
        <v/>
      </c>
      <c r="X17" s="1037"/>
      <c r="AV17" s="1060"/>
      <c r="AW17" s="1060"/>
      <c r="AX17" s="1060"/>
      <c r="AY17" s="1060"/>
      <c r="AZ17" s="1060"/>
      <c r="BA17" s="1060"/>
      <c r="BB17" s="1060"/>
      <c r="BC17" s="1060"/>
      <c r="BD17" s="1060"/>
    </row>
    <row r="18" spans="1:56" x14ac:dyDescent="0.2">
      <c r="A18" s="1036" t="str">
        <f>IF(OR(ISBLANK('!'!A20),ISERROR('!'!A20)),"",'!'!A20)</f>
        <v/>
      </c>
      <c r="B18" s="1036" t="str">
        <f>IF(OR(ISBLANK('!'!B20),ISERROR('!'!B20)),"",'!'!B20)</f>
        <v/>
      </c>
      <c r="C18" s="1068" t="str">
        <f>IF(OR(ISBLANK('!'!C20),ISERROR('!'!C20)),"",'!'!C20)</f>
        <v/>
      </c>
      <c r="D18" s="1036" t="str">
        <f>IF(OR(ISBLANK('!'!D20),ISERROR('!'!D20)),"",'!'!D20)</f>
        <v/>
      </c>
      <c r="E18" s="1036" t="str">
        <f>IF(OR(ISBLANK('!'!E20),ISERROR('!'!E20)),"",'!'!E20)</f>
        <v/>
      </c>
      <c r="F18" s="1036" t="str">
        <f>IF(OR(ISBLANK('!'!F20),ISERROR('!'!F20)),"",'!'!F20)</f>
        <v/>
      </c>
      <c r="G18" s="1036" t="str">
        <f>IF(OR(ISBLANK('!'!G20),ISERROR('!'!G20)),"",'!'!G20)</f>
        <v/>
      </c>
      <c r="I18" s="1110" t="str">
        <f>IF(OR(ISBLANK('!'!I20),ISERROR('!'!I20)),"",'!'!I20)</f>
        <v xml:space="preserve">dependiendo del tipo de muestreo y de </v>
      </c>
      <c r="J18" s="1097"/>
      <c r="X18" s="1037"/>
      <c r="AV18" s="1060"/>
      <c r="AW18" s="1060"/>
      <c r="AX18" s="1060"/>
      <c r="AY18" s="1060"/>
      <c r="AZ18" s="1060"/>
      <c r="BA18" s="1060"/>
      <c r="BB18" s="1060"/>
      <c r="BC18" s="1060"/>
      <c r="BD18" s="1060"/>
    </row>
    <row r="19" spans="1:56" x14ac:dyDescent="0.2">
      <c r="A19" s="1036" t="str">
        <f>IF(OR(ISBLANK('!'!A21),ISERROR('!'!A21)),"",'!'!A21)</f>
        <v/>
      </c>
      <c r="B19" s="1036" t="str">
        <f>IF(OR(ISBLANK('!'!B21),ISERROR('!'!B21)),"",'!'!B21)</f>
        <v/>
      </c>
      <c r="C19" s="1068" t="str">
        <f>IF(OR(ISBLANK('!'!C21),ISERROR('!'!C21)),"",'!'!C21)</f>
        <v/>
      </c>
      <c r="D19" s="1036" t="str">
        <f>IF(OR(ISBLANK('!'!D21),ISERROR('!'!D21)),"",'!'!D21)</f>
        <v/>
      </c>
      <c r="E19" s="1036" t="str">
        <f>IF(OR(ISBLANK('!'!E21),ISERROR('!'!E21)),"",'!'!E21)</f>
        <v/>
      </c>
      <c r="F19" s="1036" t="str">
        <f>IF(OR(ISBLANK('!'!F21),ISERROR('!'!F21)),"",'!'!F21)</f>
        <v/>
      </c>
      <c r="G19" s="1036" t="str">
        <f>IF(OR(ISBLANK('!'!G21),ISERROR('!'!G21)),"",'!'!G21)</f>
        <v/>
      </c>
      <c r="H19" s="1036" t="str">
        <f>IF(OR(ISBLANK('!'!H21),ISERROR('!'!H21)),"",'!'!H21)</f>
        <v/>
      </c>
      <c r="I19" s="1110" t="str">
        <f>IF(OR(ISBLANK('!'!I21),ISERROR('!'!I21)),"",'!'!I21)</f>
        <v>la presencia, o no, de un estándar</v>
      </c>
      <c r="J19" s="1097"/>
      <c r="L19" s="1036" t="str">
        <f>IF(OR(ISBLANK('!'!L21),ISERROR('!'!L21)),"",'!'!L21)</f>
        <v/>
      </c>
      <c r="X19" s="1037"/>
      <c r="AV19" s="1060"/>
      <c r="AW19" s="1060"/>
      <c r="AX19" s="1060"/>
      <c r="AY19" s="1060"/>
      <c r="AZ19" s="1060"/>
      <c r="BA19" s="1060"/>
      <c r="BB19" s="1060"/>
      <c r="BC19" s="1060"/>
      <c r="BD19" s="1060"/>
    </row>
    <row r="20" spans="1:56" ht="13.5" thickBot="1" x14ac:dyDescent="0.25">
      <c r="B20" s="1111">
        <v>3</v>
      </c>
      <c r="C20" s="1053" t="s">
        <v>567</v>
      </c>
      <c r="D20" s="1112"/>
      <c r="E20" s="1054"/>
      <c r="F20" s="1054"/>
      <c r="G20" s="1054"/>
      <c r="H20" s="1054"/>
      <c r="I20" s="1113" t="str">
        <f>IF(OR(ISBLANK('!'!I22),ISERROR('!'!I22)),"",'!'!I22)</f>
        <v>(la versión de Excel puede bloquear está función)</v>
      </c>
      <c r="J20" s="1114"/>
      <c r="K20" s="1054"/>
      <c r="L20" s="1054"/>
      <c r="X20" s="1037"/>
      <c r="AV20" s="1060"/>
      <c r="AW20" s="1060"/>
      <c r="AX20" s="1060"/>
      <c r="AY20" s="1060"/>
      <c r="AZ20" s="1060"/>
      <c r="BA20" s="1060"/>
      <c r="BB20" s="1060"/>
      <c r="BC20" s="1060"/>
      <c r="BD20" s="1060"/>
    </row>
    <row r="21" spans="1:56" x14ac:dyDescent="0.2">
      <c r="C21" s="1068"/>
      <c r="I21" s="1110"/>
      <c r="J21" s="1097"/>
      <c r="X21" s="1037"/>
      <c r="AV21" s="1060"/>
      <c r="AW21" s="1060"/>
      <c r="AX21" s="1060"/>
      <c r="AY21" s="1060"/>
      <c r="AZ21" s="1060"/>
      <c r="BA21" s="1060"/>
      <c r="BB21" s="1060"/>
      <c r="BC21" s="1060"/>
      <c r="BD21" s="1060"/>
    </row>
    <row r="22" spans="1:56" x14ac:dyDescent="0.2">
      <c r="C22" s="1068"/>
      <c r="D22" s="1115" t="s">
        <v>473</v>
      </c>
      <c r="E22" s="1116" t="s">
        <v>474</v>
      </c>
      <c r="F22" s="1117" t="s">
        <v>245</v>
      </c>
      <c r="G22" s="1118"/>
      <c r="H22" s="1350" t="str">
        <f>IF(OR(ISBLANK('!'!AD9),ISERROR('!'!AD9)),"",'!'!AD9)</f>
        <v>Datos analizados</v>
      </c>
      <c r="I22" s="1350"/>
      <c r="J22" s="1119" t="str">
        <f>IF(OR(ISBLANK('!'!AE9),ISERROR('!'!AE9)),"",'!'!AE9)</f>
        <v>C1</v>
      </c>
      <c r="K22" s="1119" t="str">
        <f>IF(OR(ISBLANK('!'!AF9),ISERROR('!'!AF9)),"",'!'!AF9)</f>
        <v>C2</v>
      </c>
      <c r="L22" s="1119" t="str">
        <f>IF(OR(ISBLANK('!'!AG9),ISERROR('!'!AG9)),"",'!'!AG9)</f>
        <v/>
      </c>
      <c r="X22" s="1037"/>
      <c r="AV22" s="1060"/>
      <c r="AW22" s="1060"/>
      <c r="AX22" s="1060"/>
      <c r="AY22" s="1060"/>
      <c r="AZ22" s="1060"/>
      <c r="BA22" s="1060"/>
      <c r="BB22" s="1060"/>
      <c r="BC22" s="1060"/>
      <c r="BD22" s="1060"/>
    </row>
    <row r="23" spans="1:56" x14ac:dyDescent="0.2">
      <c r="C23" s="1068"/>
      <c r="D23" s="1120">
        <v>1</v>
      </c>
      <c r="E23" s="1121">
        <f>IF(OR(ISBLANK('!'!D23),ISERROR('!'!D23)),"",'!'!D23)</f>
        <v>0.50276141422017273</v>
      </c>
      <c r="F23" s="1122">
        <f>'!'!E23</f>
        <v>0.46684988463301752</v>
      </c>
      <c r="G23" s="1118"/>
      <c r="I23" s="1123" t="str">
        <f>IF(OR(ISBLANK('!'!AD10),ISERROR('!'!AD10)),"",'!'!AD10)</f>
        <v>R1</v>
      </c>
      <c r="J23" s="1119">
        <f>IF(OR(ISBLANK('!'!AE10),ISERROR('!'!AE10)),"",'!'!AE10)</f>
        <v>10</v>
      </c>
      <c r="K23" s="1119">
        <f>IF(OR(ISBLANK('!'!AF10),ISERROR('!'!AF10)),"",'!'!AF10)</f>
        <v>3</v>
      </c>
      <c r="L23" s="1124">
        <f>IF(OR(ISBLANK('!'!AG10),ISERROR('!'!AG10)),"",'!'!AG10)</f>
        <v>13</v>
      </c>
      <c r="X23" s="1037"/>
      <c r="AV23" s="1060"/>
      <c r="AW23" s="1060"/>
      <c r="AX23" s="1060"/>
      <c r="AY23" s="1060"/>
      <c r="AZ23" s="1060"/>
      <c r="BA23" s="1060"/>
      <c r="BB23" s="1060"/>
      <c r="BC23" s="1060"/>
      <c r="BD23" s="1060"/>
    </row>
    <row r="24" spans="1:56" x14ac:dyDescent="0.2">
      <c r="C24" s="1068"/>
      <c r="D24" s="1125">
        <v>2</v>
      </c>
      <c r="E24" s="1126">
        <f>IF(OR(ISBLANK('!'!D24),ISERROR('!'!D24)),"",'!'!D24)</f>
        <v>0.53349364905389041</v>
      </c>
      <c r="F24" s="1127">
        <f>'!'!E24</f>
        <v>0.56905989232414977</v>
      </c>
      <c r="G24" s="1118"/>
      <c r="I24" s="1123" t="str">
        <f>IF(OR(ISBLANK('!'!AD11),ISERROR('!'!AD11)),"",'!'!AD11)</f>
        <v>R2</v>
      </c>
      <c r="J24" s="1119">
        <f>IF(OR(ISBLANK('!'!AE11),ISERROR('!'!AE11)),"",'!'!AE11)</f>
        <v>4</v>
      </c>
      <c r="K24" s="1119">
        <f>IF(OR(ISBLANK('!'!AF11),ISERROR('!'!AF11)),"",'!'!AF11)</f>
        <v>12</v>
      </c>
      <c r="L24" s="1124">
        <f>IF(OR(ISBLANK('!'!AG11),ISERROR('!'!AG11)),"",'!'!AG11)</f>
        <v>16</v>
      </c>
      <c r="X24" s="1037"/>
      <c r="AV24" s="1060"/>
      <c r="AW24" s="1060"/>
      <c r="AX24" s="1060"/>
      <c r="AY24" s="1060"/>
      <c r="AZ24" s="1060"/>
      <c r="BA24" s="1060"/>
      <c r="BB24" s="1060"/>
      <c r="BC24" s="1060"/>
      <c r="BD24" s="1060"/>
    </row>
    <row r="25" spans="1:56" x14ac:dyDescent="0.2">
      <c r="C25" s="1068"/>
      <c r="I25" s="1119" t="str">
        <f>IF(OR(ISBLANK('!'!AD12),ISERROR('!'!AD12)),"",'!'!AD12)</f>
        <v/>
      </c>
      <c r="J25" s="1119">
        <f>IF(OR(ISBLANK('!'!AE12),ISERROR('!'!AE12)),"",'!'!AE12)</f>
        <v>14</v>
      </c>
      <c r="K25" s="1119">
        <f>IF(OR(ISBLANK('!'!AF12),ISERROR('!'!AF12)),"",'!'!AF12)</f>
        <v>15</v>
      </c>
      <c r="L25" s="1124">
        <f>IF(OR(ISBLANK('!'!AG12),ISERROR('!'!AG12)),"",'!'!AG12)</f>
        <v>29</v>
      </c>
      <c r="X25" s="1037"/>
      <c r="AV25" s="1060"/>
      <c r="AW25" s="1060"/>
      <c r="AX25" s="1060"/>
      <c r="AY25" s="1060"/>
      <c r="AZ25" s="1060"/>
      <c r="BA25" s="1060"/>
      <c r="BB25" s="1060"/>
      <c r="BC25" s="1060"/>
      <c r="BD25" s="1060"/>
    </row>
    <row r="26" spans="1:56" ht="13.5" thickBot="1" x14ac:dyDescent="0.25">
      <c r="A26" s="1036" t="str">
        <f>IF(OR(ISBLANK('!'!A22),ISERROR('!'!A22)),"",'!'!A22)</f>
        <v/>
      </c>
      <c r="B26" s="1111">
        <v>4</v>
      </c>
      <c r="C26" s="1053" t="s">
        <v>547</v>
      </c>
      <c r="D26" s="1054"/>
      <c r="E26" s="1054" t="str">
        <f>IF(OR(ISBLANK('!'!E26),ISERROR('!'!E26)),"",'!'!E26)</f>
        <v/>
      </c>
      <c r="F26" s="1054" t="str">
        <f>IF(OR(ISBLANK('!'!F26),ISERROR('!'!F26)),"",'!'!F26)</f>
        <v/>
      </c>
      <c r="G26" s="1054" t="str">
        <f>IF(OR(ISBLANK('!'!G26),ISERROR('!'!G26)),"",'!'!G26)</f>
        <v/>
      </c>
      <c r="H26" s="1054" t="str">
        <f>IF(OR(ISBLANK('!'!H26),ISERROR('!'!H26)),"",'!'!H26)</f>
        <v/>
      </c>
      <c r="I26" s="1054" t="str">
        <f>IF(OR(ISBLANK('!'!I26),ISERROR('!'!I26)),"",'!'!I26)</f>
        <v/>
      </c>
      <c r="J26" s="1054" t="str">
        <f>IF(OR(ISBLANK('!'!J26),ISERROR('!'!J26)),"",'!'!J26)</f>
        <v/>
      </c>
      <c r="K26" s="1054" t="str">
        <f>IF(OR(ISBLANK('!'!K26),ISERROR('!'!K26)),"",'!'!K26)</f>
        <v/>
      </c>
      <c r="L26" s="1054" t="str">
        <f>IF(OR(ISBLANK('!'!L22),ISERROR('!'!L22)),"",'!'!L22)</f>
        <v/>
      </c>
      <c r="X26" s="1037"/>
    </row>
    <row r="27" spans="1:56" ht="17.25" customHeight="1" thickBot="1" x14ac:dyDescent="0.25">
      <c r="A27" s="1036" t="str">
        <f>IF(OR(ISBLANK('!'!A27),ISERROR('!'!A27)),"",'!'!A27)</f>
        <v/>
      </c>
      <c r="B27" s="1036" t="str">
        <f>IF(OR(ISBLANK('!'!B27),ISERROR('!'!B27)),"",'!'!B27)</f>
        <v/>
      </c>
      <c r="C27" s="1128" t="str">
        <f>IF(OR(ISBLANK('!'!C27),ISERROR('!'!C27)),"",'!'!C27)</f>
        <v/>
      </c>
      <c r="D27" s="1129" t="str">
        <f>IF(OR(ISBLANK('!'!D27),ISERROR('!'!D27)),"",'!'!D27)</f>
        <v>Índice</v>
      </c>
      <c r="E27" s="1129" t="str">
        <f>IF(OR(ISBLANK('!'!E27),ISERROR('!'!E27)),"",'!'!E27)</f>
        <v>Validez</v>
      </c>
      <c r="F27" s="1129" t="str">
        <f>IF(OR(ISBLANK('!'!F27),ISERROR('!'!F27)),"",'!'!F27)</f>
        <v>Muestreo</v>
      </c>
      <c r="G27" s="1129" t="str">
        <f>IF(OR(ISBLANK('!'!G27),ISERROR('!'!G27)),"",'!'!G27)</f>
        <v>Clase</v>
      </c>
      <c r="H27" s="1067" t="str">
        <f>IF(OR(ISBLANK('!'!H27),ISERROR('!'!H27)),"",'!'!H27)</f>
        <v>Estimación</v>
      </c>
      <c r="I27" s="1067" t="str">
        <f>IF(OR(ISBLANK('!'!I27),ISERROR('!'!I27)),"",'!'!I27)</f>
        <v>Varianza</v>
      </c>
      <c r="J27" s="1067" t="str">
        <f>IF(OR(ISBLANK('!'!J27),ISERROR('!'!J27)),"",'!'!J27)</f>
        <v>Error estándar</v>
      </c>
      <c r="K27" s="1036" t="str">
        <f>IF(OR(ISBLANK('!'!K27),ISERROR('!'!K27)),"",'!'!K27)</f>
        <v/>
      </c>
      <c r="L27" s="1036" t="str">
        <f>IF(OR(ISBLANK('!'!L27),ISERROR('!'!L27)),"",'!'!L27)</f>
        <v/>
      </c>
      <c r="X27" s="1037"/>
    </row>
    <row r="28" spans="1:56" ht="12.75" customHeight="1" x14ac:dyDescent="0.2">
      <c r="A28" s="1036" t="str">
        <f>IF(OR(ISBLANK('!'!A29),ISERROR('!'!A29)),"",'!'!A29)</f>
        <v/>
      </c>
      <c r="B28" s="1036" t="str">
        <f>IF(OR(ISBLANK('!'!B29),ISERROR('!'!B29)),"",'!'!B29)</f>
        <v/>
      </c>
      <c r="C28" s="1036" t="str">
        <f>IF(OR(ISBLANK('!'!C29),ISERROR('!'!C29)),"",'!'!C29)</f>
        <v/>
      </c>
      <c r="D28" s="1351" t="s">
        <v>555</v>
      </c>
      <c r="E28" s="1341" t="str">
        <f>IF(OR(ISBLANK('!'!E29),ISERROR('!'!E29)),"",'!'!E29)</f>
        <v>R es un estándar</v>
      </c>
      <c r="F28" s="1339" t="str">
        <f>IF(OR(ISBLANK('!'!F29),ISERROR('!'!F29)),"",'!'!F29)</f>
        <v>I</v>
      </c>
      <c r="G28" s="1130">
        <f>IF(OR(ISBLANK('!'!G29),ISERROR('!'!G29)),"",'!'!G29)</f>
        <v>1</v>
      </c>
      <c r="H28" s="1131">
        <f>IF(OR(ISBLANK('!'!H29),ISERROR('!'!H29)),"",'!'!H29)</f>
        <v>0.50276141422017273</v>
      </c>
      <c r="I28" s="1131">
        <f>IF(OR(ISBLANK('!'!I29),ISERROR('!'!I29)),"",'!'!I29)</f>
        <v>3.9777431111232379E-2</v>
      </c>
      <c r="J28" s="1132">
        <f>IF(OR(ISBLANK('!'!J29),ISERROR('!'!J29)),"",'!'!J29)</f>
        <v>0.19944280160294675</v>
      </c>
      <c r="K28" s="1133" t="str">
        <f>IF(OR(ISBLANK('!'!K29),ISERROR('!'!K29)),"",'!'!K29)</f>
        <v/>
      </c>
      <c r="X28" s="1037"/>
    </row>
    <row r="29" spans="1:56" x14ac:dyDescent="0.2">
      <c r="A29" s="1036" t="str">
        <f>IF(OR(ISBLANK('!'!A30),ISERROR('!'!A30)),"",'!'!A30)</f>
        <v/>
      </c>
      <c r="B29" s="1036" t="str">
        <f>IF(OR(ISBLANK('!'!B30),ISERROR('!'!B30)),"",'!'!B30)</f>
        <v/>
      </c>
      <c r="C29" s="1036" t="str">
        <f>IF(OR(ISBLANK('!'!C30),ISERROR('!'!C30)),"",'!'!C30)</f>
        <v/>
      </c>
      <c r="D29" s="1352"/>
      <c r="E29" s="1345" t="str">
        <f>IF(OR(ISBLANK('!'!E30),ISERROR('!'!E30)),"",'!'!E30)</f>
        <v/>
      </c>
      <c r="F29" s="1346" t="str">
        <f>IF(OR(ISBLANK('!'!F30),ISERROR('!'!F30)),"",'!'!F30)</f>
        <v/>
      </c>
      <c r="G29" s="1134">
        <f>IF(OR(ISBLANK('!'!G30),ISERROR('!'!G30)),"",'!'!G30)</f>
        <v>2</v>
      </c>
      <c r="H29" s="1135">
        <f>IF(OR(ISBLANK('!'!H30),ISERROR('!'!H30)),"",'!'!H30)</f>
        <v>0.53349364905389041</v>
      </c>
      <c r="I29" s="1135">
        <f>IF(OR(ISBLANK('!'!I30),ISERROR('!'!I30)),"",'!'!I30)</f>
        <v>2.8703422700598887E-2</v>
      </c>
      <c r="J29" s="1136">
        <f>IF(OR(ISBLANK('!'!J30),ISERROR('!'!J30)),"",'!'!J30)</f>
        <v>0.16942084494122583</v>
      </c>
      <c r="K29" s="1137" t="str">
        <f>IF(OR(ISBLANK('!'!K30),ISERROR('!'!K30)),"",'!'!K30)</f>
        <v/>
      </c>
      <c r="X29" s="1037"/>
    </row>
    <row r="30" spans="1:56" x14ac:dyDescent="0.2">
      <c r="A30" s="1036" t="str">
        <f>IF(OR(ISBLANK('!'!A31),ISERROR('!'!A31)),"",'!'!A31)</f>
        <v/>
      </c>
      <c r="B30" s="1036" t="str">
        <f>IF(OR(ISBLANK('!'!B31),ISERROR('!'!B31)),"",'!'!B31)</f>
        <v/>
      </c>
      <c r="C30" s="1036" t="str">
        <f>IF(OR(ISBLANK('!'!C31),ISERROR('!'!C31)),"",'!'!C31)</f>
        <v/>
      </c>
      <c r="D30" s="1352"/>
      <c r="E30" s="1345" t="str">
        <f>IF(OR(ISBLANK('!'!E31),ISERROR('!'!E31)),"",'!'!E31)</f>
        <v/>
      </c>
      <c r="F30" s="1346" t="str">
        <f>IF(OR(ISBLANK('!'!F31),ISERROR('!'!F31)),"",'!'!F31)</f>
        <v>II</v>
      </c>
      <c r="G30" s="1134">
        <f>IF(OR(ISBLANK('!'!G31),ISERROR('!'!G31)),"",'!'!G31)</f>
        <v>1</v>
      </c>
      <c r="H30" s="1138">
        <f>IF(OR(ISBLANK('!'!H31),ISERROR('!'!H31)),"",'!'!H31)</f>
        <v>0.50276141422017273</v>
      </c>
      <c r="I30" s="1135">
        <f>IF(OR(ISBLANK('!'!I31),ISERROR('!'!I31)),"",'!'!I31)</f>
        <v>3.7302465248692553E-2</v>
      </c>
      <c r="J30" s="1136">
        <f>IF(OR(ISBLANK('!'!J31),ISERROR('!'!J31)),"",'!'!J31)</f>
        <v>0.1931384613397667</v>
      </c>
      <c r="K30" s="1137" t="str">
        <f>IF(OR(ISBLANK('!'!K31),ISERROR('!'!K31)),"",'!'!K31)</f>
        <v/>
      </c>
      <c r="X30" s="1037"/>
    </row>
    <row r="31" spans="1:56" ht="13.5" thickBot="1" x14ac:dyDescent="0.25">
      <c r="A31" s="1036" t="str">
        <f>IF(OR(ISBLANK('!'!A32),ISERROR('!'!A32)),"",'!'!A32)</f>
        <v/>
      </c>
      <c r="B31" s="1036" t="str">
        <f>IF(OR(ISBLANK('!'!B32),ISERROR('!'!B32)),"",'!'!B32)</f>
        <v/>
      </c>
      <c r="C31" s="1036" t="str">
        <f>IF(OR(ISBLANK('!'!C32),ISERROR('!'!C32)),"",'!'!C32)</f>
        <v/>
      </c>
      <c r="D31" s="1353"/>
      <c r="E31" s="1342" t="str">
        <f>IF(OR(ISBLANK('!'!E32),ISERROR('!'!E32)),"",'!'!E32)</f>
        <v/>
      </c>
      <c r="F31" s="1340" t="str">
        <f>IF(OR(ISBLANK('!'!F32),ISERROR('!'!F32)),"",'!'!F32)</f>
        <v/>
      </c>
      <c r="G31" s="1139">
        <f>IF(OR(ISBLANK('!'!G32),ISERROR('!'!G32)),"",'!'!G32)</f>
        <v>2</v>
      </c>
      <c r="H31" s="1140">
        <f>IF(OR(ISBLANK('!'!H32),ISERROR('!'!H32)),"",'!'!H32)</f>
        <v>0.53349364905389041</v>
      </c>
      <c r="I31" s="1141">
        <f>IF(OR(ISBLANK('!'!I32),ISERROR('!'!I32)),"",'!'!I32)</f>
        <v>2.7069558517906579E-2</v>
      </c>
      <c r="J31" s="1142">
        <f>IF(OR(ISBLANK('!'!J32),ISERROR('!'!J32)),"",'!'!J32)</f>
        <v>0.16452829093474039</v>
      </c>
      <c r="K31" s="1137" t="str">
        <f>IF(OR(ISBLANK('!'!K32),ISERROR('!'!K32)),"",'!'!K32)</f>
        <v/>
      </c>
      <c r="X31" s="1037"/>
    </row>
    <row r="32" spans="1:56" ht="3.75" customHeight="1" thickBot="1" x14ac:dyDescent="0.25">
      <c r="A32" s="1036" t="str">
        <f>IF(OR(ISBLANK('!'!A33),ISERROR('!'!A33)),"",'!'!A33)</f>
        <v/>
      </c>
      <c r="B32" s="1036" t="str">
        <f>IF(OR(ISBLANK('!'!B33),ISERROR('!'!B33)),"",'!'!B33)</f>
        <v/>
      </c>
      <c r="C32" s="1036" t="str">
        <f>IF(OR(ISBLANK('!'!C33),ISERROR('!'!C33)),"",'!'!C33)</f>
        <v/>
      </c>
      <c r="D32" s="1099"/>
      <c r="E32" s="1143" t="str">
        <f>IF(OR(ISBLANK('!'!E33),ISERROR('!'!E33)),"",'!'!E33)</f>
        <v/>
      </c>
      <c r="F32" s="1099" t="str">
        <f>IF(OR(ISBLANK('!'!F33),ISERROR('!'!F33)),"",'!'!F33)</f>
        <v/>
      </c>
      <c r="G32" s="1144" t="str">
        <f>IF(OR(ISBLANK('!'!G33),ISERROR('!'!G33)),"",'!'!G33)</f>
        <v/>
      </c>
      <c r="H32" s="1145" t="str">
        <f>IF(OR(ISBLANK('!'!H33),ISERROR('!'!H33)),"",'!'!H33)</f>
        <v/>
      </c>
      <c r="I32" s="1145" t="str">
        <f>IF(OR(ISBLANK('!'!I33),ISERROR('!'!I33)),"",'!'!I33)</f>
        <v/>
      </c>
      <c r="J32" s="1145" t="str">
        <f>IF(OR(ISBLANK('!'!J33),ISERROR('!'!J33)),"",'!'!J33)</f>
        <v/>
      </c>
      <c r="K32" s="1137" t="str">
        <f>IF(OR(ISBLANK('!'!K33),ISERROR('!'!K33)),"",'!'!K33)</f>
        <v/>
      </c>
      <c r="X32" s="1037"/>
    </row>
    <row r="33" spans="1:36" ht="12.75" customHeight="1" x14ac:dyDescent="0.2">
      <c r="A33" s="1036" t="str">
        <f>IF(OR(ISBLANK('!'!A34),ISERROR('!'!A34)),"",'!'!A34)</f>
        <v/>
      </c>
      <c r="B33" s="1036" t="str">
        <f>IF(OR(ISBLANK('!'!B34),ISERROR('!'!B34)),"",'!'!B34)</f>
        <v/>
      </c>
      <c r="C33" s="1036" t="str">
        <f>IF(OR(ISBLANK('!'!C34),ISERROR('!'!C34)),"",'!'!C34)</f>
        <v/>
      </c>
      <c r="D33" s="1335" t="s">
        <v>558</v>
      </c>
      <c r="E33" s="1341" t="str">
        <f>IF(OR(ISBLANK('!'!E34),ISERROR('!'!E34)),"",'!'!E34)</f>
        <v>R es un estándar</v>
      </c>
      <c r="F33" s="1339" t="str">
        <f>IF(OR(ISBLANK('!'!F34),ISERROR('!'!F34)),"",'!'!F34)</f>
        <v>I</v>
      </c>
      <c r="G33" s="1130">
        <f>IF(OR(ISBLANK('!'!G34),ISERROR('!'!G34)),"",'!'!G34)</f>
        <v>1</v>
      </c>
      <c r="H33" s="1131">
        <f>IF(OR(ISBLANK('!'!H34),ISERROR('!'!H34)),"",'!'!H34)</f>
        <v>0.46684988463301752</v>
      </c>
      <c r="I33" s="1131">
        <f>IF(OR(ISBLANK('!'!I34),ISERROR('!'!I34)),"",'!'!I34)</f>
        <v>3.4016405302980154E-2</v>
      </c>
      <c r="J33" s="1132">
        <f>IF(OR(ISBLANK('!'!J34),ISERROR('!'!J34)),"",'!'!J34)</f>
        <v>0.18443536890461154</v>
      </c>
      <c r="K33" s="1137" t="str">
        <f>IF(OR(ISBLANK('!'!K34),ISERROR('!'!K34)),"",'!'!K34)</f>
        <v/>
      </c>
      <c r="X33" s="1037"/>
    </row>
    <row r="34" spans="1:36" ht="13.5" thickBot="1" x14ac:dyDescent="0.25">
      <c r="A34" s="1036" t="str">
        <f>IF(OR(ISBLANK('!'!A35),ISERROR('!'!A35)),"",'!'!A35)</f>
        <v/>
      </c>
      <c r="B34" s="1036" t="str">
        <f>IF(OR(ISBLANK('!'!B35),ISERROR('!'!B35)),"",'!'!B35)</f>
        <v/>
      </c>
      <c r="C34" s="1036" t="str">
        <f>IF(OR(ISBLANK('!'!C35),ISERROR('!'!C35)),"",'!'!C35)</f>
        <v/>
      </c>
      <c r="D34" s="1336"/>
      <c r="E34" s="1342" t="str">
        <f>IF(OR(ISBLANK('!'!E35),ISERROR('!'!E35)),"",'!'!E35)</f>
        <v/>
      </c>
      <c r="F34" s="1340" t="str">
        <f>IF(OR(ISBLANK('!'!F35),ISERROR('!'!F35)),"",'!'!F35)</f>
        <v/>
      </c>
      <c r="G34" s="1139">
        <f>IF(OR(ISBLANK('!'!G35),ISERROR('!'!G35)),"",'!'!G35)</f>
        <v>2</v>
      </c>
      <c r="H34" s="1141">
        <f>IF(OR(ISBLANK('!'!H35),ISERROR('!'!H35)),"",'!'!H35)</f>
        <v>0.56905989232414977</v>
      </c>
      <c r="I34" s="1141">
        <f>IF(OR(ISBLANK('!'!I35),ISERROR('!'!I35)),"",'!'!I35)</f>
        <v>2.8919980345886616E-2</v>
      </c>
      <c r="J34" s="1142">
        <f>IF(OR(ISBLANK('!'!J35),ISERROR('!'!J35)),"",'!'!J35)</f>
        <v>0.17005875556961664</v>
      </c>
      <c r="K34" s="1137" t="str">
        <f>IF(OR(ISBLANK('!'!K35),ISERROR('!'!K35)),"",'!'!K35)</f>
        <v/>
      </c>
      <c r="X34" s="1037"/>
    </row>
    <row r="35" spans="1:36" ht="4.5" customHeight="1" thickBot="1" x14ac:dyDescent="0.25">
      <c r="A35" s="1036" t="str">
        <f>IF(OR(ISBLANK('!'!A36),ISERROR('!'!A36)),"",'!'!A36)</f>
        <v/>
      </c>
      <c r="B35" s="1036" t="str">
        <f>IF(OR(ISBLANK('!'!B36),ISERROR('!'!B36)),"",'!'!B36)</f>
        <v/>
      </c>
      <c r="C35" s="1036" t="str">
        <f>IF(OR(ISBLANK('!'!C36),ISERROR('!'!C36)),"",'!'!C36)</f>
        <v/>
      </c>
      <c r="D35" s="1099"/>
      <c r="E35" s="1143" t="str">
        <f>IF(OR(ISBLANK('!'!E36),ISERROR('!'!E36)),"",'!'!E36)</f>
        <v/>
      </c>
      <c r="F35" s="1099" t="str">
        <f>IF(OR(ISBLANK('!'!F36),ISERROR('!'!F36)),"",'!'!F36)</f>
        <v/>
      </c>
      <c r="G35" s="1146" t="str">
        <f>IF(OR(ISBLANK('!'!G36),ISERROR('!'!G36)),"",'!'!G36)</f>
        <v/>
      </c>
      <c r="H35" s="1145" t="str">
        <f>IF(OR(ISBLANK('!'!H36),ISERROR('!'!H36)),"",'!'!H36)</f>
        <v/>
      </c>
      <c r="I35" s="1145" t="str">
        <f>IF(OR(ISBLANK('!'!I36),ISERROR('!'!I36)),"",'!'!I36)</f>
        <v/>
      </c>
      <c r="J35" s="1145" t="str">
        <f>IF(OR(ISBLANK('!'!J36),ISERROR('!'!J36)),"",'!'!J36)</f>
        <v/>
      </c>
      <c r="K35" s="1137" t="str">
        <f>IF(OR(ISBLANK('!'!K36),ISERROR('!'!K36)),"",'!'!K36)</f>
        <v/>
      </c>
      <c r="X35" s="1037"/>
    </row>
    <row r="36" spans="1:36" ht="12.75" customHeight="1" x14ac:dyDescent="0.2">
      <c r="A36" s="1036" t="str">
        <f>IF(OR(ISBLANK('!'!A37),ISERROR('!'!A37)),"",'!'!A37)</f>
        <v/>
      </c>
      <c r="B36" s="1036" t="str">
        <f>IF(OR(ISBLANK('!'!B37),ISERROR('!'!B37)),"",'!'!B37)</f>
        <v/>
      </c>
      <c r="C36" s="1036" t="str">
        <f>IF(OR(ISBLANK('!'!C37),ISERROR('!'!C37)),"",'!'!C37)</f>
        <v/>
      </c>
      <c r="D36" s="1335" t="s">
        <v>559</v>
      </c>
      <c r="E36" s="1341" t="str">
        <f>IF(OR(ISBLANK('!'!E37),ISERROR('!'!E37)),"",'!'!E37)</f>
        <v>Siempre</v>
      </c>
      <c r="F36" s="1339" t="str">
        <f>IF(OR(ISBLANK('!'!F37),ISERROR('!'!F37)),"",'!'!F37)</f>
        <v>I</v>
      </c>
      <c r="G36" s="1130">
        <f>IF(OR(ISBLANK('!'!G37),ISERROR('!'!G37)),"",'!'!G37)</f>
        <v>1</v>
      </c>
      <c r="H36" s="1131">
        <f>IF(OR(ISBLANK('!'!H37),ISERROR('!'!H37)),"",'!'!H37)</f>
        <v>0.2253758063745602</v>
      </c>
      <c r="I36" s="1131">
        <f>IF(OR(ISBLANK('!'!I37),ISERROR('!'!I37)),"",'!'!I37)</f>
        <v>1.2219936541176559E-2</v>
      </c>
      <c r="J36" s="1132">
        <f>IF(OR(ISBLANK('!'!J37),ISERROR('!'!J37)),"",'!'!J37)</f>
        <v>0.1105438218136887</v>
      </c>
      <c r="K36" s="1137" t="str">
        <f>IF(OR(ISBLANK('!'!K37),ISERROR('!'!K37)),"",'!'!K37)</f>
        <v/>
      </c>
      <c r="X36" s="1037"/>
    </row>
    <row r="37" spans="1:36" x14ac:dyDescent="0.2">
      <c r="A37" s="1036" t="str">
        <f>IF(OR(ISBLANK('!'!A38),ISERROR('!'!A38)),"",'!'!A38)</f>
        <v/>
      </c>
      <c r="B37" s="1036" t="str">
        <f>IF(OR(ISBLANK('!'!B38),ISERROR('!'!B38)),"",'!'!B38)</f>
        <v/>
      </c>
      <c r="C37" s="1036" t="str">
        <f>IF(OR(ISBLANK('!'!C38),ISERROR('!'!C38)),"",'!'!C38)</f>
        <v/>
      </c>
      <c r="D37" s="1343"/>
      <c r="E37" s="1345" t="str">
        <f>IF(OR(ISBLANK('!'!E38),ISERROR('!'!E38)),"",'!'!E38)</f>
        <v/>
      </c>
      <c r="F37" s="1346" t="str">
        <f>IF(OR(ISBLANK('!'!F38),ISERROR('!'!F38)),"",'!'!F38)</f>
        <v/>
      </c>
      <c r="G37" s="1134">
        <f>IF(OR(ISBLANK('!'!G38),ISERROR('!'!G38)),"",'!'!G38)</f>
        <v>2</v>
      </c>
      <c r="H37" s="1135">
        <f>IF(OR(ISBLANK('!'!H38),ISERROR('!'!H38)),"",'!'!H38)</f>
        <v>0.29434132361593951</v>
      </c>
      <c r="I37" s="1135">
        <f>IF(OR(ISBLANK('!'!I38),ISERROR('!'!I38)),"",'!'!I38)</f>
        <v>1.3362107456775846E-2</v>
      </c>
      <c r="J37" s="1136">
        <f>IF(OR(ISBLANK('!'!J38),ISERROR('!'!J38)),"",'!'!J38)</f>
        <v>0.11559458229854826</v>
      </c>
      <c r="K37" s="1137" t="str">
        <f>IF(OR(ISBLANK('!'!K38),ISERROR('!'!K38)),"",'!'!K38)</f>
        <v/>
      </c>
      <c r="X37" s="1037"/>
    </row>
    <row r="38" spans="1:36" x14ac:dyDescent="0.2">
      <c r="A38" s="1036" t="str">
        <f>IF(OR(ISBLANK('!'!A39),ISERROR('!'!A39)),"",'!'!A39)</f>
        <v/>
      </c>
      <c r="B38" s="1036" t="str">
        <f>IF(OR(ISBLANK('!'!B39),ISERROR('!'!B39)),"",'!'!B39)</f>
        <v/>
      </c>
      <c r="C38" s="1036" t="str">
        <f>IF(OR(ISBLANK('!'!C39),ISERROR('!'!C39)),"",'!'!C39)</f>
        <v/>
      </c>
      <c r="D38" s="1343"/>
      <c r="E38" s="1345" t="str">
        <f>IF(OR(ISBLANK('!'!E39),ISERROR('!'!E39)),"",'!'!E39)</f>
        <v/>
      </c>
      <c r="F38" s="1346" t="str">
        <f>IF(OR(ISBLANK('!'!F39),ISERROR('!'!F39)),"",'!'!F39)</f>
        <v>II</v>
      </c>
      <c r="G38" s="1134">
        <f>IF(OR(ISBLANK('!'!G39),ISERROR('!'!G39)),"",'!'!G39)</f>
        <v>1</v>
      </c>
      <c r="H38" s="1135">
        <f>IF(OR(ISBLANK('!'!H39),ISERROR('!'!H39)),"",'!'!H39)</f>
        <v>0.2253758063745602</v>
      </c>
      <c r="I38" s="1135">
        <f>IF(OR(ISBLANK('!'!I39),ISERROR('!'!I39)),"",'!'!I39)</f>
        <v>7.4959769643627126E-3</v>
      </c>
      <c r="J38" s="1136">
        <f>IF(OR(ISBLANK('!'!J39),ISERROR('!'!J39)),"",'!'!J39)</f>
        <v>8.6579310255757477E-2</v>
      </c>
      <c r="K38" s="1137" t="str">
        <f>IF(OR(ISBLANK('!'!K39),ISERROR('!'!K39)),"",'!'!K39)</f>
        <v/>
      </c>
      <c r="X38" s="1037"/>
    </row>
    <row r="39" spans="1:36" ht="13.5" thickBot="1" x14ac:dyDescent="0.25">
      <c r="A39" s="1036" t="str">
        <f>IF(OR(ISBLANK('!'!A40),ISERROR('!'!A40)),"",'!'!A40)</f>
        <v/>
      </c>
      <c r="B39" s="1036" t="str">
        <f>IF(OR(ISBLANK('!'!B40),ISERROR('!'!B40)),"",'!'!B40)</f>
        <v/>
      </c>
      <c r="C39" s="1036" t="str">
        <f>IF(OR(ISBLANK('!'!C40),ISERROR('!'!C40)),"",'!'!C40)</f>
        <v/>
      </c>
      <c r="D39" s="1344"/>
      <c r="E39" s="1342" t="str">
        <f>IF(OR(ISBLANK('!'!E40),ISERROR('!'!E40)),"",'!'!E40)</f>
        <v/>
      </c>
      <c r="F39" s="1340" t="str">
        <f>IF(OR(ISBLANK('!'!F40),ISERROR('!'!F40)),"",'!'!F40)</f>
        <v/>
      </c>
      <c r="G39" s="1139">
        <f>IF(OR(ISBLANK('!'!G40),ISERROR('!'!G40)),"",'!'!G40)</f>
        <v>2</v>
      </c>
      <c r="H39" s="1141">
        <f>IF(OR(ISBLANK('!'!H40),ISERROR('!'!H40)),"",'!'!H40)</f>
        <v>0.29434132361593951</v>
      </c>
      <c r="I39" s="1141">
        <f>IF(OR(ISBLANK('!'!I40),ISERROR('!'!I40)),"",'!'!I40)</f>
        <v>8.2399607379121092E-3</v>
      </c>
      <c r="J39" s="1142">
        <f>IF(OR(ISBLANK('!'!J40),ISERROR('!'!J40)),"",'!'!J40)</f>
        <v>9.0774229481236077E-2</v>
      </c>
      <c r="K39" s="1137" t="str">
        <f>IF(OR(ISBLANK('!'!K40),ISERROR('!'!K40)),"",'!'!K40)</f>
        <v/>
      </c>
      <c r="X39" s="1037"/>
    </row>
    <row r="40" spans="1:36" ht="4.5" customHeight="1" thickBot="1" x14ac:dyDescent="0.25">
      <c r="A40" s="1036" t="str">
        <f>IF(OR(ISBLANK('!'!A41),ISERROR('!'!A41)),"",'!'!A41)</f>
        <v/>
      </c>
      <c r="B40" s="1036" t="str">
        <f>IF(OR(ISBLANK('!'!B41),ISERROR('!'!B41)),"",'!'!B41)</f>
        <v/>
      </c>
      <c r="C40" s="1036" t="str">
        <f>IF(OR(ISBLANK('!'!C41),ISERROR('!'!C41)),"",'!'!C41)</f>
        <v/>
      </c>
      <c r="D40" s="1099"/>
      <c r="E40" s="1099" t="str">
        <f>IF(OR(ISBLANK('!'!E41),ISERROR('!'!E41)),"",'!'!E41)</f>
        <v/>
      </c>
      <c r="F40" s="1099" t="str">
        <f>IF(OR(ISBLANK('!'!F41),ISERROR('!'!F41)),"",'!'!F41)</f>
        <v/>
      </c>
      <c r="G40" s="1146" t="str">
        <f>IF(OR(ISBLANK('!'!G41),ISERROR('!'!G41)),"",'!'!G41)</f>
        <v/>
      </c>
      <c r="H40" s="1145" t="str">
        <f>IF(OR(ISBLANK('!'!H41),ISERROR('!'!H41)),"",'!'!H41)</f>
        <v/>
      </c>
      <c r="I40" s="1145" t="str">
        <f>IF(OR(ISBLANK('!'!I41),ISERROR('!'!I41)),"",'!'!I41)</f>
        <v/>
      </c>
      <c r="J40" s="1145" t="str">
        <f>IF(OR(ISBLANK('!'!J41),ISERROR('!'!J41)),"",'!'!J41)</f>
        <v/>
      </c>
      <c r="K40" s="1137" t="str">
        <f>IF(OR(ISBLANK('!'!K41),ISERROR('!'!K41)),"",'!'!K41)</f>
        <v/>
      </c>
      <c r="X40" s="1037"/>
    </row>
    <row r="41" spans="1:36" ht="12.75" customHeight="1" x14ac:dyDescent="0.2">
      <c r="A41" s="1036" t="str">
        <f>IF(OR(ISBLANK('!'!A42),ISERROR('!'!A42)),"",'!'!A42)</f>
        <v/>
      </c>
      <c r="B41" s="1036" t="str">
        <f>IF(OR(ISBLANK('!'!B42),ISERROR('!'!B42)),"",'!'!B42)</f>
        <v/>
      </c>
      <c r="C41" s="1036" t="str">
        <f>IF(OR(ISBLANK('!'!C42),ISERROR('!'!C42)),"",'!'!C42)</f>
        <v/>
      </c>
      <c r="D41" s="1335" t="s">
        <v>561</v>
      </c>
      <c r="E41" s="1337" t="str">
        <f>IF(OR(ISBLANK('!'!E42),ISERROR('!'!E42)),"",'!'!E42)</f>
        <v>R no es un estándar</v>
      </c>
      <c r="F41" s="1339" t="str">
        <f>IF(OR(ISBLANK('!'!F42),ISERROR('!'!F42)),"",'!'!F42)</f>
        <v>I</v>
      </c>
      <c r="G41" s="1130">
        <f>IF(OR(ISBLANK('!'!G42),ISERROR('!'!G42)),"",'!'!G42)</f>
        <v>1</v>
      </c>
      <c r="H41" s="1131">
        <f>IF(OR(ISBLANK('!'!H42),ISERROR('!'!H42)),"",'!'!H42)</f>
        <v>0.48414062110090711</v>
      </c>
      <c r="I41" s="1131">
        <f>IF(OR(ISBLANK('!'!I42),ISERROR('!'!I42)),"",'!'!I42)</f>
        <v>3.5656557159072573E-2</v>
      </c>
      <c r="J41" s="1132">
        <f>IF(OR(ISBLANK('!'!J42),ISERROR('!'!J42)),"",'!'!J42)</f>
        <v>0.18882943933368168</v>
      </c>
      <c r="K41" s="1137" t="str">
        <f>IF(OR(ISBLANK('!'!K42),ISERROR('!'!K42)),"",'!'!K42)</f>
        <v/>
      </c>
      <c r="X41" s="1037"/>
    </row>
    <row r="42" spans="1:36" ht="13.5" thickBot="1" x14ac:dyDescent="0.25">
      <c r="A42" s="1036" t="str">
        <f>IF(OR(ISBLANK('!'!A43),ISERROR('!'!A43)),"",'!'!A43)</f>
        <v/>
      </c>
      <c r="B42" s="1036" t="str">
        <f>IF(OR(ISBLANK('!'!B43),ISERROR('!'!B43)),"",'!'!B43)</f>
        <v/>
      </c>
      <c r="C42" s="1036" t="str">
        <f>IF(OR(ISBLANK('!'!C43),ISERROR('!'!C43)),"",'!'!C43)</f>
        <v/>
      </c>
      <c r="D42" s="1336"/>
      <c r="E42" s="1338" t="str">
        <f>IF(OR(ISBLANK('!'!E43),ISERROR('!'!E43)),"",'!'!E43)</f>
        <v/>
      </c>
      <c r="F42" s="1340" t="str">
        <f>IF(OR(ISBLANK('!'!F43),ISERROR('!'!F43)),"",'!'!F43)</f>
        <v/>
      </c>
      <c r="G42" s="1139">
        <f>IF(OR(ISBLANK('!'!G43),ISERROR('!'!G43)),"",'!'!G43)</f>
        <v>2</v>
      </c>
      <c r="H42" s="1141">
        <f>IF(OR(ISBLANK('!'!H43),ISERROR('!'!H43)),"",'!'!H43)</f>
        <v>0.55070312160401591</v>
      </c>
      <c r="I42" s="1141">
        <f>IF(OR(ISBLANK('!'!I43),ISERROR('!'!I43)),"",'!'!I43)</f>
        <v>2.7516475198747534E-2</v>
      </c>
      <c r="J42" s="1142">
        <f>IF(OR(ISBLANK('!'!J43),ISERROR('!'!J43)),"",'!'!J43)</f>
        <v>0.16588090667327429</v>
      </c>
      <c r="K42" s="1137" t="str">
        <f>IF(OR(ISBLANK('!'!K43),ISERROR('!'!K43)),"",'!'!K43)</f>
        <v/>
      </c>
      <c r="X42" s="1037"/>
    </row>
    <row r="43" spans="1:36" ht="3.75" customHeight="1" thickBot="1" x14ac:dyDescent="0.25">
      <c r="A43" s="1036" t="str">
        <f>IF(OR(ISBLANK('!'!A44),ISERROR('!'!A44)),"",'!'!A44)</f>
        <v/>
      </c>
      <c r="B43" s="1036" t="str">
        <f>IF(OR(ISBLANK('!'!B44),ISERROR('!'!B44)),"",'!'!B44)</f>
        <v/>
      </c>
      <c r="C43" s="1036" t="str">
        <f>IF(OR(ISBLANK('!'!C44),ISERROR('!'!C44)),"",'!'!C44)</f>
        <v/>
      </c>
      <c r="D43" s="1099"/>
      <c r="E43" s="1099" t="str">
        <f>IF(OR(ISBLANK('!'!E44),ISERROR('!'!E44)),"",'!'!E44)</f>
        <v/>
      </c>
      <c r="F43" s="1099" t="str">
        <f>IF(OR(ISBLANK('!'!F44),ISERROR('!'!F44)),"",'!'!F44)</f>
        <v/>
      </c>
      <c r="G43" s="1146" t="str">
        <f>IF(OR(ISBLANK('!'!G44),ISERROR('!'!G44)),"",'!'!G44)</f>
        <v/>
      </c>
      <c r="H43" s="1145" t="str">
        <f>IF(OR(ISBLANK('!'!H44),ISERROR('!'!H44)),"",'!'!H44)</f>
        <v/>
      </c>
      <c r="I43" s="1145" t="str">
        <f>IF(OR(ISBLANK('!'!I44),ISERROR('!'!I44)),"",'!'!I44)</f>
        <v/>
      </c>
      <c r="J43" s="1145" t="str">
        <f>IF(OR(ISBLANK('!'!J44),ISERROR('!'!J44)),"",'!'!J44)</f>
        <v/>
      </c>
      <c r="K43" s="1137" t="str">
        <f>IF(OR(ISBLANK('!'!K44),ISERROR('!'!K44)),"",'!'!K44)</f>
        <v/>
      </c>
      <c r="X43" s="1037"/>
    </row>
    <row r="44" spans="1:36" ht="12.75" customHeight="1" x14ac:dyDescent="0.2">
      <c r="A44" s="1036" t="str">
        <f>IF(OR(ISBLANK('!'!A45),ISERROR('!'!A45)),"",'!'!A45)</f>
        <v/>
      </c>
      <c r="B44" s="1036" t="str">
        <f>IF(OR(ISBLANK('!'!B45),ISERROR('!'!B45)),"",'!'!B45)</f>
        <v/>
      </c>
      <c r="C44" s="1036" t="str">
        <f>IF(OR(ISBLANK('!'!C45),ISERROR('!'!C45)),"",'!'!C45)</f>
        <v/>
      </c>
      <c r="D44" s="1335" t="s">
        <v>563</v>
      </c>
      <c r="E44" s="1341" t="str">
        <f>IF(OR(ISBLANK('!'!E45),ISERROR('!'!E45)),"",'!'!E45)</f>
        <v>Siempre</v>
      </c>
      <c r="F44" s="1147" t="str">
        <f>IF(OR(ISBLANK('!'!F45),ISERROR('!'!F45)),"",'!'!F45)</f>
        <v>I</v>
      </c>
      <c r="G44" s="1130" t="str">
        <f>IF(OR(ISBLANK('!'!G45),ISERROR('!'!G45)),"",'!'!G45)</f>
        <v>-</v>
      </c>
      <c r="H44" s="1131">
        <f>IF(OR(ISBLANK('!'!H45),ISERROR('!'!H45)),"",'!'!H45)</f>
        <v>0.51971712999049979</v>
      </c>
      <c r="I44" s="1131">
        <f>IF(OR(ISBLANK('!'!I45),ISERROR('!'!I45)),"",'!'!I45)</f>
        <v>2.5168762234290959E-2</v>
      </c>
      <c r="J44" s="1132">
        <f>IF(OR(ISBLANK('!'!J45),ISERROR('!'!J45)),"",'!'!J45)</f>
        <v>0.15864665844035594</v>
      </c>
      <c r="K44" s="1137" t="str">
        <f>IF(OR(ISBLANK('!'!K45),ISERROR('!'!K45)),"",'!'!K45)</f>
        <v/>
      </c>
      <c r="X44" s="1037"/>
    </row>
    <row r="45" spans="1:36" ht="13.5" customHeight="1" thickBot="1" x14ac:dyDescent="0.25">
      <c r="A45" s="1036" t="str">
        <f>IF(OR(ISBLANK('!'!A46),ISERROR('!'!A46)),"",'!'!A46)</f>
        <v/>
      </c>
      <c r="B45" s="1036" t="str">
        <f>IF(OR(ISBLANK('!'!B46),ISERROR('!'!B46)),"",'!'!B46)</f>
        <v/>
      </c>
      <c r="C45" s="1036" t="str">
        <f>IF(OR(ISBLANK('!'!C46),ISERROR('!'!C46)),"",'!'!C46)</f>
        <v/>
      </c>
      <c r="D45" s="1336"/>
      <c r="E45" s="1342" t="str">
        <f>IF(OR(ISBLANK('!'!E46),ISERROR('!'!E46)),"",'!'!E46)</f>
        <v/>
      </c>
      <c r="F45" s="1148" t="str">
        <f>IF(OR(ISBLANK('!'!F46),ISERROR('!'!F46)),"",'!'!F46)</f>
        <v>II</v>
      </c>
      <c r="G45" s="1139" t="str">
        <f>IF(OR(ISBLANK('!'!G46),ISERROR('!'!G46)),"",'!'!G46)</f>
        <v>-</v>
      </c>
      <c r="H45" s="1141">
        <f>IF(OR(ISBLANK('!'!H46),ISERROR('!'!H46)),"",'!'!H46)</f>
        <v>0.51971712999049979</v>
      </c>
      <c r="I45" s="1141">
        <f>IF(OR(ISBLANK('!'!I46),ISERROR('!'!I46)),"",'!'!I46)</f>
        <v>2.5160707381134295E-2</v>
      </c>
      <c r="J45" s="1142">
        <f>IF(OR(ISBLANK('!'!J46),ISERROR('!'!J46)),"",'!'!J46)</f>
        <v>0.15862127026705558</v>
      </c>
      <c r="K45" s="1137" t="str">
        <f>IF(OR(ISBLANK('!'!K46),ISERROR('!'!K46)),"",'!'!K46)</f>
        <v/>
      </c>
      <c r="X45" s="1037"/>
    </row>
    <row r="46" spans="1:36" ht="12" customHeight="1" x14ac:dyDescent="0.2">
      <c r="A46" s="1036" t="str">
        <f>IF(OR(ISBLANK('!'!A47),ISERROR('!'!A47)),"",'!'!A47)</f>
        <v/>
      </c>
      <c r="B46" s="1036" t="str">
        <f>IF(OR(ISBLANK('!'!B47),ISERROR('!'!B47)),"",'!'!B47)</f>
        <v/>
      </c>
      <c r="C46" s="1036" t="str">
        <f>IF(OR(ISBLANK('!'!C47),ISERROR('!'!C47)),"",'!'!C47)</f>
        <v/>
      </c>
      <c r="D46" s="1036" t="str">
        <f>IF(OR(ISBLANK('!'!D47),ISERROR('!'!D47)),"",'!'!D47)</f>
        <v/>
      </c>
      <c r="E46" s="1036" t="str">
        <f>IF(OR(ISBLANK('!'!E47),ISERROR('!'!E47)),"",'!'!E47)</f>
        <v/>
      </c>
      <c r="F46" s="1036" t="str">
        <f>IF(OR(ISBLANK('!'!F47),ISERROR('!'!F47)),"",'!'!F47)</f>
        <v/>
      </c>
      <c r="G46" s="1036" t="str">
        <f>IF(OR(ISBLANK('!'!G47),ISERROR('!'!G47)),"",'!'!G47)</f>
        <v/>
      </c>
      <c r="H46" s="1036" t="str">
        <f>IF(OR(ISBLANK('!'!H47),ISERROR('!'!H47)),"",'!'!H47)</f>
        <v/>
      </c>
      <c r="I46" s="1036" t="str">
        <f>IF(OR(ISBLANK('!'!I47),ISERROR('!'!I47)),"",'!'!I47)</f>
        <v/>
      </c>
      <c r="J46" s="1036" t="str">
        <f>IF(OR(ISBLANK('!'!J47),ISERROR('!'!J47)),"",'!'!J47)</f>
        <v/>
      </c>
      <c r="K46" s="1036" t="str">
        <f>IF(OR(ISBLANK('!'!K47),ISERROR('!'!K47)),"",'!'!K47)</f>
        <v/>
      </c>
      <c r="L46" s="1036" t="str">
        <f>IF(OR(ISBLANK('!'!L47),ISERROR('!'!L47)),"",'!'!L47)</f>
        <v/>
      </c>
      <c r="X46" s="1037"/>
    </row>
    <row r="47" spans="1:36" x14ac:dyDescent="0.2">
      <c r="A47" s="1036" t="str">
        <f>IF(OR(ISBLANK('!'!A48),ISERROR('!'!A48)),"",'!'!A48)</f>
        <v/>
      </c>
      <c r="B47" s="1036" t="str">
        <f>IF(OR(ISBLANK('!'!B48),ISERROR('!'!B48)),"",'!'!B48)</f>
        <v/>
      </c>
      <c r="C47" s="1149" t="s">
        <v>475</v>
      </c>
      <c r="D47" s="1099"/>
      <c r="E47" s="1279" t="s">
        <v>476</v>
      </c>
      <c r="F47" s="1279"/>
      <c r="G47" s="1279"/>
      <c r="H47" s="1279"/>
      <c r="I47" s="1099" t="str">
        <f>IF(OR(ISBLANK('!'!I48),ISERROR('!'!I48)),"",'!'!I48)</f>
        <v/>
      </c>
      <c r="J47" s="1099" t="str">
        <f>IF(OR(ISBLANK('!'!J48),ISERROR('!'!J48)),"",'!'!J48)</f>
        <v/>
      </c>
      <c r="K47" s="1150"/>
      <c r="L47" s="1151"/>
      <c r="M47" s="1060"/>
      <c r="X47" s="1037"/>
    </row>
    <row r="48" spans="1:36" ht="13.5" thickBot="1" x14ac:dyDescent="0.25">
      <c r="A48" s="1036" t="str">
        <f>IF(OR(ISBLANK('!'!A49),ISERROR('!'!A49)),"",'!'!A49)</f>
        <v/>
      </c>
      <c r="B48" s="1036" t="str">
        <f>IF(OR(ISBLANK('!'!B49),ISERROR('!'!B49)),"",'!'!B49)</f>
        <v/>
      </c>
      <c r="C48" s="1054" t="str">
        <f>IF(OR(ISBLANK('!'!C49),ISERROR('!'!C49)),"",'!'!C49)</f>
        <v/>
      </c>
      <c r="D48" s="1054" t="str">
        <f>IF(OR(ISBLANK('!'!D49),ISERROR('!'!D49)),"",'!'!D49)</f>
        <v/>
      </c>
      <c r="E48" s="1054" t="str">
        <f>IF(OR(ISBLANK('!'!E49),ISERROR('!'!E49)),"",'!'!E49)</f>
        <v/>
      </c>
      <c r="F48" s="1054" t="str">
        <f>IF(OR(ISBLANK('!'!F49),ISERROR('!'!F49)),"",'!'!F49)</f>
        <v/>
      </c>
      <c r="G48" s="1054" t="str">
        <f>IF(OR(ISBLANK('!'!G49),ISERROR('!'!G49)),"",'!'!G49)</f>
        <v/>
      </c>
      <c r="H48" s="1054" t="str">
        <f>IF(OR(ISBLANK('!'!H49),ISERROR('!'!H49)),"",'!'!H49)</f>
        <v/>
      </c>
      <c r="I48" s="1054" t="str">
        <f>IF(OR(ISBLANK('!'!I49),ISERROR('!'!I49)),"",'!'!I49)</f>
        <v/>
      </c>
      <c r="J48" s="1054" t="str">
        <f>IF(OR(ISBLANK('!'!J49),ISERROR('!'!J49)),"",'!'!J49)</f>
        <v/>
      </c>
      <c r="K48" s="1152"/>
      <c r="L48" s="1153"/>
      <c r="M48" s="1060"/>
      <c r="N48" s="1154"/>
      <c r="P48" s="1154"/>
      <c r="R48" s="1154"/>
      <c r="T48" s="1154"/>
      <c r="V48" s="1154"/>
      <c r="X48" s="1154"/>
      <c r="Y48" s="1154"/>
      <c r="AA48" s="1154"/>
      <c r="AC48" s="1154"/>
      <c r="AE48" s="1154"/>
      <c r="AF48" s="1154"/>
      <c r="AH48" s="1154"/>
      <c r="AJ48" s="1154"/>
    </row>
    <row r="49" spans="1:36" x14ac:dyDescent="0.2">
      <c r="A49" s="1036" t="str">
        <f>IF(OR(ISBLANK('!'!A50),ISERROR('!'!A50)),"",'!'!A50)</f>
        <v/>
      </c>
      <c r="B49" s="1036" t="str">
        <f>IF(OR(ISBLANK('!'!B50),ISERROR('!'!B50)),"",'!'!B50)</f>
        <v/>
      </c>
      <c r="C49" s="1036" t="str">
        <f>IF(OR(ISBLANK('!'!C50),ISERROR('!'!C50)),"",'!'!C50)</f>
        <v/>
      </c>
      <c r="D49" s="1036" t="str">
        <f>IF(OR(ISBLANK('!'!D50),ISERROR('!'!D50)),"",'!'!D50)</f>
        <v/>
      </c>
      <c r="E49" s="1036" t="str">
        <f>IF(OR(ISBLANK('!'!E50),ISERROR('!'!E50)),"",'!'!E50)</f>
        <v/>
      </c>
      <c r="F49" s="1036" t="str">
        <f>IF(OR(ISBLANK('!'!F50),ISERROR('!'!F50)),"",'!'!F50)</f>
        <v/>
      </c>
      <c r="G49" s="1036" t="str">
        <f>IF(OR(ISBLANK('!'!G50),ISERROR('!'!G50)),"",'!'!G50)</f>
        <v/>
      </c>
      <c r="H49" s="1155" t="str">
        <f>IF(OR(ISBLANK('!'!H50),ISERROR('!'!H50)),"",'!'!H50)</f>
        <v/>
      </c>
      <c r="I49" s="1036" t="str">
        <f>IF(OR(ISBLANK('!'!I50),ISERROR('!'!I50)),"",'!'!I50)</f>
        <v/>
      </c>
      <c r="J49" s="1036" t="str">
        <f>IF(OR(ISBLANK('!'!J50),ISERROR('!'!J50)),"",'!'!J50)</f>
        <v/>
      </c>
      <c r="K49" s="1156"/>
      <c r="L49" s="1151"/>
      <c r="M49" s="1060"/>
      <c r="N49" s="1154"/>
      <c r="P49" s="1154"/>
      <c r="R49" s="1154"/>
      <c r="T49" s="1154"/>
      <c r="V49" s="1154"/>
      <c r="X49" s="1154"/>
      <c r="Y49" s="1154"/>
      <c r="AA49" s="1154"/>
      <c r="AC49" s="1154"/>
      <c r="AE49" s="1154"/>
      <c r="AF49" s="1154"/>
      <c r="AH49" s="1154"/>
      <c r="AJ49" s="1154"/>
    </row>
    <row r="50" spans="1:36" x14ac:dyDescent="0.2">
      <c r="A50" s="1036" t="str">
        <f>IF(OR(ISBLANK('!'!A51),ISERROR('!'!A51)),"",'!'!A51)</f>
        <v/>
      </c>
      <c r="B50" s="1036" t="str">
        <f>IF(OR(ISBLANK('!'!B51),ISERROR('!'!B51)),"",'!'!B51)</f>
        <v/>
      </c>
      <c r="C50" s="1036" t="str">
        <f>IF(OR(ISBLANK('!'!C51),ISERROR('!'!C51)),"",'!'!C51)</f>
        <v/>
      </c>
      <c r="D50" s="1036" t="str">
        <f>IF(OR(ISBLANK('!'!D51),ISERROR('!'!D51)),"",'!'!D51)</f>
        <v/>
      </c>
      <c r="E50" s="1036" t="str">
        <f>IF(OR(ISBLANK('!'!E51),ISERROR('!'!E51)),"",'!'!E51)</f>
        <v/>
      </c>
      <c r="F50" s="1036" t="str">
        <f>IF(OR(ISBLANK('!'!F51),ISERROR('!'!F51)),"",'!'!F51)</f>
        <v/>
      </c>
      <c r="G50" s="1036" t="str">
        <f>IF(OR(ISBLANK('!'!G51),ISERROR('!'!G51)),"",'!'!G51)</f>
        <v/>
      </c>
      <c r="H50" s="1036" t="str">
        <f>IF(OR(ISBLANK('!'!H51),ISERROR('!'!H51)),"",'!'!H51)</f>
        <v/>
      </c>
      <c r="I50" s="1036" t="str">
        <f>IF(OR(ISBLANK('!'!I51),ISERROR('!'!I51)),"",'!'!I51)</f>
        <v/>
      </c>
      <c r="J50" s="1036" t="str">
        <f>IF(OR(ISBLANK('!'!J51),ISERROR('!'!J51)),"",'!'!J51)</f>
        <v/>
      </c>
      <c r="K50" s="1151"/>
      <c r="L50" s="1151"/>
      <c r="M50" s="1060"/>
      <c r="N50" s="1154"/>
      <c r="P50" s="1154"/>
      <c r="R50" s="1154"/>
      <c r="T50" s="1154"/>
      <c r="V50" s="1154"/>
      <c r="X50" s="1154"/>
      <c r="Y50" s="1154"/>
      <c r="AA50" s="1154"/>
      <c r="AC50" s="1154"/>
      <c r="AE50" s="1154"/>
      <c r="AF50" s="1154"/>
      <c r="AH50" s="1154"/>
      <c r="AJ50" s="1154"/>
    </row>
    <row r="51" spans="1:36" x14ac:dyDescent="0.2">
      <c r="A51" s="1036" t="str">
        <f>IF(OR(ISBLANK('!'!A52),ISERROR('!'!A52)),"",'!'!A52)</f>
        <v/>
      </c>
      <c r="B51" s="1036" t="str">
        <f>IF(OR(ISBLANK('!'!B52),ISERROR('!'!B52)),"",'!'!B52)</f>
        <v/>
      </c>
      <c r="C51" s="1036" t="str">
        <f>IF(OR(ISBLANK('!'!C52),ISERROR('!'!C52)),"",'!'!C52)</f>
        <v/>
      </c>
      <c r="D51" s="1036" t="str">
        <f>IF(OR(ISBLANK('!'!D52),ISERROR('!'!D52)),"",'!'!D52)</f>
        <v/>
      </c>
      <c r="E51" s="1036" t="str">
        <f>IF(OR(ISBLANK('!'!E52),ISERROR('!'!E52)),"",'!'!E52)</f>
        <v/>
      </c>
      <c r="F51" s="1036" t="str">
        <f>IF(OR(ISBLANK('!'!F52),ISERROR('!'!F52)),"",'!'!F52)</f>
        <v/>
      </c>
      <c r="G51" s="1036" t="str">
        <f>IF(OR(ISBLANK('!'!G52),ISERROR('!'!G52)),"",'!'!G52)</f>
        <v/>
      </c>
      <c r="H51" s="1036" t="str">
        <f>IF(OR(ISBLANK('!'!H52),ISERROR('!'!H52)),"",'!'!H52)</f>
        <v/>
      </c>
      <c r="I51" s="1036" t="str">
        <f>IF(OR(ISBLANK('!'!I52),ISERROR('!'!I52)),"",'!'!I52)</f>
        <v/>
      </c>
      <c r="J51" s="1036" t="str">
        <f>IF(OR(ISBLANK('!'!J52),ISERROR('!'!J52)),"",'!'!J52)</f>
        <v/>
      </c>
      <c r="K51" s="1151"/>
      <c r="L51" s="1156"/>
      <c r="M51" s="1060"/>
      <c r="X51" s="1037"/>
    </row>
    <row r="52" spans="1:36" x14ac:dyDescent="0.2">
      <c r="A52" s="1036" t="str">
        <f>IF(OR(ISBLANK('!'!A53),ISERROR('!'!A53)),"",'!'!A53)</f>
        <v/>
      </c>
      <c r="B52" s="1036" t="str">
        <f>IF(OR(ISBLANK('!'!B53),ISERROR('!'!B53)),"",'!'!B53)</f>
        <v/>
      </c>
      <c r="C52" s="1036" t="str">
        <f>IF(OR(ISBLANK('!'!C53),ISERROR('!'!C53)),"",'!'!C53)</f>
        <v/>
      </c>
      <c r="D52" s="1036" t="str">
        <f>IF(OR(ISBLANK('!'!D53),ISERROR('!'!D53)),"",'!'!D53)</f>
        <v/>
      </c>
      <c r="E52" s="1036" t="str">
        <f>IF(OR(ISBLANK('!'!E53),ISERROR('!'!E53)),"",'!'!E53)</f>
        <v/>
      </c>
      <c r="F52" s="1036" t="str">
        <f>IF(OR(ISBLANK('!'!F53),ISERROR('!'!F53)),"",'!'!F53)</f>
        <v/>
      </c>
      <c r="G52" s="1036" t="str">
        <f>IF(OR(ISBLANK('!'!G53),ISERROR('!'!G53)),"",'!'!G53)</f>
        <v/>
      </c>
      <c r="H52" s="1036" t="str">
        <f>IF(OR(ISBLANK('!'!H53),ISERROR('!'!H53)),"",'!'!H53)</f>
        <v/>
      </c>
      <c r="I52" s="1036" t="str">
        <f>IF(OR(ISBLANK('!'!I53),ISERROR('!'!I53)),"",'!'!I53)</f>
        <v/>
      </c>
      <c r="J52" s="1036" t="str">
        <f>IF(OR(ISBLANK('!'!J53),ISERROR('!'!J53)),"",'!'!J53)</f>
        <v/>
      </c>
      <c r="K52" s="1036" t="str">
        <f>IF(OR(ISBLANK('!'!K53),ISERROR('!'!K53)),"",'!'!K53)</f>
        <v/>
      </c>
      <c r="L52" s="1036" t="str">
        <f>IF(OR(ISBLANK('!'!L53),ISERROR('!'!L53)),"",'!'!L53)</f>
        <v/>
      </c>
      <c r="X52" s="1037"/>
    </row>
    <row r="53" spans="1:36" x14ac:dyDescent="0.2">
      <c r="A53" s="1036" t="str">
        <f>IF(OR(ISBLANK('!'!A54),ISERROR('!'!A54)),"",'!'!A54)</f>
        <v/>
      </c>
      <c r="B53" s="1036" t="str">
        <f>IF(OR(ISBLANK('!'!B54),ISERROR('!'!B54)),"",'!'!B54)</f>
        <v/>
      </c>
      <c r="C53" s="1036" t="str">
        <f>IF(OR(ISBLANK('!'!C54),ISERROR('!'!C54)),"",'!'!C54)</f>
        <v/>
      </c>
      <c r="D53" s="1036" t="str">
        <f>IF(OR(ISBLANK('!'!D54),ISERROR('!'!D54)),"",'!'!D54)</f>
        <v/>
      </c>
      <c r="E53" s="1036" t="str">
        <f>IF(OR(ISBLANK('!'!E54),ISERROR('!'!E54)),"",'!'!E54)</f>
        <v/>
      </c>
      <c r="F53" s="1036" t="str">
        <f>IF(OR(ISBLANK('!'!F54),ISERROR('!'!F54)),"",'!'!F54)</f>
        <v/>
      </c>
      <c r="G53" s="1036" t="str">
        <f>IF(OR(ISBLANK('!'!G54),ISERROR('!'!G54)),"",'!'!G54)</f>
        <v/>
      </c>
      <c r="H53" s="1036" t="str">
        <f>IF(OR(ISBLANK('!'!H54),ISERROR('!'!H54)),"",'!'!H54)</f>
        <v/>
      </c>
      <c r="I53" s="1036" t="str">
        <f>IF(OR(ISBLANK('!'!I54),ISERROR('!'!I54)),"",'!'!I54)</f>
        <v/>
      </c>
      <c r="J53" s="1036" t="str">
        <f>IF(OR(ISBLANK('!'!J54),ISERROR('!'!J54)),"",'!'!J54)</f>
        <v/>
      </c>
      <c r="K53" s="1036" t="str">
        <f>IF(OR(ISBLANK('!'!K54),ISERROR('!'!K54)),"",'!'!K54)</f>
        <v/>
      </c>
      <c r="L53" s="1036" t="str">
        <f>IF(OR(ISBLANK('!'!L54),ISERROR('!'!L54)),"",'!'!L54)</f>
        <v/>
      </c>
      <c r="X53" s="1037"/>
    </row>
    <row r="54" spans="1:36" x14ac:dyDescent="0.2">
      <c r="X54" s="1037"/>
    </row>
    <row r="55" spans="1:36" x14ac:dyDescent="0.2">
      <c r="X55" s="1037"/>
    </row>
    <row r="56" spans="1:36" x14ac:dyDescent="0.2">
      <c r="X56" s="1037"/>
    </row>
    <row r="57" spans="1:36" x14ac:dyDescent="0.2">
      <c r="X57" s="1037"/>
    </row>
    <row r="58" spans="1:36" x14ac:dyDescent="0.2">
      <c r="X58" s="1037"/>
    </row>
    <row r="59" spans="1:36" x14ac:dyDescent="0.2">
      <c r="X59" s="1037"/>
    </row>
    <row r="60" spans="1:36" x14ac:dyDescent="0.2">
      <c r="X60" s="1037"/>
    </row>
    <row r="61" spans="1:36" x14ac:dyDescent="0.2">
      <c r="X61" s="1037"/>
    </row>
    <row r="62" spans="1:36" x14ac:dyDescent="0.2">
      <c r="X62" s="1037"/>
    </row>
    <row r="63" spans="1:36" x14ac:dyDescent="0.2">
      <c r="X63" s="1037"/>
    </row>
    <row r="64" spans="1:36" x14ac:dyDescent="0.2">
      <c r="X64" s="1037"/>
    </row>
    <row r="65" spans="24:24" x14ac:dyDescent="0.2">
      <c r="X65" s="1037"/>
    </row>
    <row r="66" spans="24:24" x14ac:dyDescent="0.2">
      <c r="X66" s="1037"/>
    </row>
    <row r="67" spans="24:24" x14ac:dyDescent="0.2">
      <c r="X67" s="1037"/>
    </row>
    <row r="68" spans="24:24" x14ac:dyDescent="0.2">
      <c r="X68" s="1037"/>
    </row>
    <row r="69" spans="24:24" x14ac:dyDescent="0.2">
      <c r="X69" s="1037"/>
    </row>
    <row r="70" spans="24:24" x14ac:dyDescent="0.2">
      <c r="X70" s="1037"/>
    </row>
    <row r="71" spans="24:24" x14ac:dyDescent="0.2">
      <c r="X71" s="1037"/>
    </row>
    <row r="72" spans="24:24" x14ac:dyDescent="0.2">
      <c r="X72" s="1037"/>
    </row>
    <row r="73" spans="24:24" x14ac:dyDescent="0.2">
      <c r="X73" s="1037"/>
    </row>
    <row r="74" spans="24:24" x14ac:dyDescent="0.2">
      <c r="X74" s="1037"/>
    </row>
    <row r="75" spans="24:24" x14ac:dyDescent="0.2">
      <c r="X75" s="1037"/>
    </row>
    <row r="76" spans="24:24" x14ac:dyDescent="0.2">
      <c r="X76" s="1037"/>
    </row>
    <row r="77" spans="24:24" x14ac:dyDescent="0.2">
      <c r="X77" s="1037"/>
    </row>
    <row r="78" spans="24:24" x14ac:dyDescent="0.2">
      <c r="X78" s="1037"/>
    </row>
    <row r="79" spans="24:24" x14ac:dyDescent="0.2">
      <c r="X79" s="1037"/>
    </row>
    <row r="80" spans="24:24" x14ac:dyDescent="0.2">
      <c r="X80" s="1037"/>
    </row>
  </sheetData>
  <sheetProtection algorithmName="SHA-512" hashValue="yhH/cO1aaWwu0W6t/DuokaT+gfpWFbt4heCmLuPxNUyh9cBkUg0t8Sd8kDUdnn8vjRzXuRb0U1s2WFKAQUZbog==" saltValue="+97e+4PhTSv3jHO3dbw+Rw==" spinCount="100000" sheet="1" objects="1" scenarios="1" formatCells="0" formatColumns="0"/>
  <mergeCells count="22">
    <mergeCell ref="N5:O5"/>
    <mergeCell ref="BF5:BF7"/>
    <mergeCell ref="D13:I13"/>
    <mergeCell ref="H22:I22"/>
    <mergeCell ref="D28:D31"/>
    <mergeCell ref="E28:E31"/>
    <mergeCell ref="F28:F29"/>
    <mergeCell ref="F30:F31"/>
    <mergeCell ref="E47:H47"/>
    <mergeCell ref="D33:D34"/>
    <mergeCell ref="E33:E34"/>
    <mergeCell ref="F33:F34"/>
    <mergeCell ref="D36:D39"/>
    <mergeCell ref="E36:E39"/>
    <mergeCell ref="F36:F37"/>
    <mergeCell ref="F38:F39"/>
    <mergeCell ref="A3:C3"/>
    <mergeCell ref="D41:D42"/>
    <mergeCell ref="E41:E42"/>
    <mergeCell ref="F41:F42"/>
    <mergeCell ref="D44:D45"/>
    <mergeCell ref="E44:E45"/>
  </mergeCells>
  <conditionalFormatting sqref="F16 J16">
    <cfRule type="expression" dxfId="19" priority="2" stopIfTrue="1">
      <formula>AND(E16&lt;&gt;1,E16&lt;&gt;0)</formula>
    </cfRule>
  </conditionalFormatting>
  <conditionalFormatting sqref="F15">
    <cfRule type="expression" dxfId="18" priority="3" stopIfTrue="1">
      <formula>AND(E15&lt;&gt;1,E15&lt;&gt;2)</formula>
    </cfRule>
  </conditionalFormatting>
  <conditionalFormatting sqref="F17">
    <cfRule type="expression" dxfId="17" priority="4" stopIfTrue="1">
      <formula>OR(E17=1,AND(E17=0,G11&lt;&gt;1),AND(E17=0.5,G11=1))</formula>
    </cfRule>
  </conditionalFormatting>
  <conditionalFormatting sqref="J18:J21 G22:G24">
    <cfRule type="expression" dxfId="16" priority="5" stopIfTrue="1">
      <formula>AND(#REF!&lt;&gt;1,#REF!&lt;&gt;0)</formula>
    </cfRule>
  </conditionalFormatting>
  <hyperlinks>
    <hyperlink ref="E47" r:id="rId1"/>
    <hyperlink ref="A3:C3" location="INICIO!A1" display="&lt; Inicio"/>
  </hyperlinks>
  <pageMargins left="0.75" right="0.75" top="1" bottom="1" header="0" footer="0"/>
  <pageSetup paperSize="9" orientation="portrait" r:id="rId2"/>
  <headerFooter alignWithMargins="0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6333311-E927-40F4-8907-606B2000FB3A}">
            <xm:f>'!'!$AE29=1</xm:f>
            <x14:dxf>
              <font>
                <b/>
                <i val="0"/>
              </font>
              <fill>
                <patternFill>
                  <bgColor rgb="FFFFFFCC"/>
                </patternFill>
              </fill>
            </x14:dxf>
          </x14:cfRule>
          <xm:sqref>H28:J45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'!'!$Z$21:$Z$22</xm:f>
          </x14:formula1>
          <xm:sqref>I16</xm:sqref>
        </x14:dataValidation>
        <x14:dataValidation type="list" allowBlank="1" showInputMessage="1" showErrorMessage="1">
          <x14:formula1>
            <xm:f>'!'!$Z$16:$Z$18</xm:f>
          </x14:formula1>
          <xm:sqref>E17</xm:sqref>
        </x14:dataValidation>
        <x14:dataValidation type="list" allowBlank="1" showInputMessage="1" showErrorMessage="1">
          <x14:formula1>
            <xm:f>'!'!$Z$12:$Z$13</xm:f>
          </x14:formula1>
          <xm:sqref>E16</xm:sqref>
        </x14:dataValidation>
        <x14:dataValidation type="list" allowBlank="1" showInputMessage="1" showErrorMessage="1">
          <x14:formula1>
            <xm:f>'!'!$Z$8:$Z$9</xm:f>
          </x14:formula1>
          <xm:sqref>E15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zoomScale="85" zoomScaleNormal="85" workbookViewId="0">
      <selection activeCell="Q32" sqref="Q32"/>
    </sheetView>
  </sheetViews>
  <sheetFormatPr baseColWidth="10" defaultRowHeight="12.75" x14ac:dyDescent="0.2"/>
  <cols>
    <col min="1" max="1" width="6.85546875" customWidth="1"/>
    <col min="2" max="2" width="1.85546875" customWidth="1"/>
    <col min="5" max="5" width="20.7109375" bestFit="1" customWidth="1"/>
    <col min="9" max="9" width="12.42578125" bestFit="1" customWidth="1"/>
    <col min="12" max="12" width="7.140625" customWidth="1"/>
    <col min="16" max="16" width="17.42578125" customWidth="1"/>
    <col min="17" max="17" width="17.5703125" customWidth="1"/>
  </cols>
  <sheetData>
    <row r="1" spans="1:17" ht="15.75" thickBot="1" x14ac:dyDescent="0.3">
      <c r="A1" s="1354" t="s">
        <v>393</v>
      </c>
      <c r="B1" s="1354"/>
      <c r="C1" s="901" t="s">
        <v>344</v>
      </c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</row>
    <row r="2" spans="1:17" s="914" customFormat="1" x14ac:dyDescent="0.2">
      <c r="A2" s="1355" t="s">
        <v>421</v>
      </c>
      <c r="B2" s="1355"/>
      <c r="C2" s="1355"/>
      <c r="D2" s="1355"/>
      <c r="E2" s="913"/>
      <c r="F2" s="913"/>
      <c r="G2" s="913"/>
      <c r="H2" s="913"/>
      <c r="I2" s="913"/>
      <c r="J2" s="913"/>
      <c r="K2" s="913"/>
      <c r="L2" s="913"/>
      <c r="M2" s="913"/>
      <c r="N2" s="913"/>
    </row>
    <row r="3" spans="1:17" ht="21" x14ac:dyDescent="0.35">
      <c r="B3" s="372"/>
      <c r="C3" s="373" t="s">
        <v>392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794" t="s">
        <v>187</v>
      </c>
    </row>
    <row r="4" spans="1:17" ht="21" x14ac:dyDescent="0.35">
      <c r="B4" s="372"/>
      <c r="C4" s="373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794"/>
    </row>
    <row r="5" spans="1:17" ht="12" customHeight="1" x14ac:dyDescent="0.2">
      <c r="C5" s="505" t="str">
        <f>IF('MH01'!R3,"",'MH01'!R4)</f>
        <v/>
      </c>
      <c r="G5" s="460" t="s">
        <v>205</v>
      </c>
      <c r="Q5" s="795" t="s">
        <v>186</v>
      </c>
    </row>
    <row r="6" spans="1:17" ht="15" x14ac:dyDescent="0.25">
      <c r="C6" s="373" t="s">
        <v>58</v>
      </c>
      <c r="G6" s="460" t="s">
        <v>204</v>
      </c>
      <c r="Q6" s="795" t="s">
        <v>343</v>
      </c>
    </row>
    <row r="7" spans="1:17" x14ac:dyDescent="0.2">
      <c r="C7" s="798" t="s">
        <v>345</v>
      </c>
      <c r="E7" s="778">
        <f>IF('MH01'!$R$3,'Test X2'!E21,1)</f>
        <v>75</v>
      </c>
      <c r="F7" s="780">
        <f>IF('MH01'!$R$3,'Test X2'!F21,1)</f>
        <v>25</v>
      </c>
      <c r="G7" s="458">
        <f>SUM(E7:F7)</f>
        <v>100</v>
      </c>
      <c r="Q7" s="795" t="str">
        <f>IF(F11&gt;1,"P1&gt;P2","P1&lt;P2")</f>
        <v>P1&gt;P2</v>
      </c>
    </row>
    <row r="8" spans="1:17" x14ac:dyDescent="0.2">
      <c r="C8" s="793"/>
      <c r="E8" s="779">
        <f>IF('MH01'!$R$3,'Test X2'!E22,1)</f>
        <v>30</v>
      </c>
      <c r="F8" s="781">
        <f>IF('MH01'!$R$3,'Test X2'!F22,1)</f>
        <v>90</v>
      </c>
      <c r="G8" s="782">
        <f>SUM(E8:F8)</f>
        <v>120</v>
      </c>
      <c r="Q8" s="795"/>
    </row>
    <row r="9" spans="1:17" x14ac:dyDescent="0.2">
      <c r="E9" s="459">
        <f>SUM(E7:E8)</f>
        <v>105</v>
      </c>
      <c r="F9" s="459">
        <f>SUM(F7:F8)</f>
        <v>115</v>
      </c>
      <c r="G9" s="458">
        <f>SUM(G7:G8)</f>
        <v>220</v>
      </c>
      <c r="H9" s="799" t="str">
        <f>IF('MH01'!V41=2,"Se permuta la tabla por ser prospectivo (adaptación a notación modelo II)","")</f>
        <v/>
      </c>
    </row>
    <row r="11" spans="1:17" ht="15.75" thickBot="1" x14ac:dyDescent="0.3">
      <c r="B11" s="796"/>
      <c r="C11" s="378" t="s">
        <v>156</v>
      </c>
      <c r="D11" s="1"/>
      <c r="E11" s="374" t="s">
        <v>157</v>
      </c>
      <c r="F11" s="375">
        <f>(E7*F8)/(F7*E8)</f>
        <v>9</v>
      </c>
      <c r="H11" s="374" t="s">
        <v>158</v>
      </c>
      <c r="I11" s="376">
        <f>MIN(E9:F9)*MIN(G7:G8)/G9</f>
        <v>47.727272727272727</v>
      </c>
    </row>
    <row r="12" spans="1:17" x14ac:dyDescent="0.2">
      <c r="E12" s="374" t="s">
        <v>159</v>
      </c>
      <c r="F12" s="377">
        <f>E7/G7</f>
        <v>0.75</v>
      </c>
      <c r="G12" s="1357" t="s">
        <v>160</v>
      </c>
      <c r="H12" s="1357"/>
      <c r="I12" s="375">
        <f>ABS(E7*F8-(F7*E8))</f>
        <v>6000</v>
      </c>
    </row>
    <row r="13" spans="1:17" x14ac:dyDescent="0.2">
      <c r="E13" s="374" t="s">
        <v>161</v>
      </c>
      <c r="F13" s="377">
        <f>E8/G8</f>
        <v>0.25</v>
      </c>
      <c r="G13" s="1357" t="s">
        <v>162</v>
      </c>
      <c r="H13" s="1357"/>
      <c r="I13" s="375">
        <f>(G7*G8*F9*E9)</f>
        <v>144900000</v>
      </c>
    </row>
    <row r="14" spans="1:17" ht="15.75" thickBot="1" x14ac:dyDescent="0.3">
      <c r="B14" s="796"/>
      <c r="C14" s="378" t="s">
        <v>163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7" ht="15" x14ac:dyDescent="0.25">
      <c r="B15" s="379"/>
      <c r="C15" s="380" t="s">
        <v>164</v>
      </c>
      <c r="D15" s="381" t="str">
        <f>IF(F11&gt;1,"Asociación +","Asociación -")</f>
        <v>Asociación +</v>
      </c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79"/>
      <c r="P15" s="379"/>
      <c r="Q15" s="379"/>
    </row>
    <row r="16" spans="1:17" x14ac:dyDescent="0.2">
      <c r="D16" s="1358" t="s">
        <v>77</v>
      </c>
      <c r="E16" s="1358"/>
      <c r="F16" s="383" t="s">
        <v>90</v>
      </c>
      <c r="G16" s="383" t="s">
        <v>7</v>
      </c>
      <c r="H16" s="384"/>
      <c r="I16" s="383" t="s">
        <v>165</v>
      </c>
      <c r="J16" s="797" t="s">
        <v>346</v>
      </c>
      <c r="K16" s="385" t="s">
        <v>165</v>
      </c>
      <c r="L16" s="384" t="s">
        <v>166</v>
      </c>
      <c r="M16" s="384"/>
      <c r="N16" s="384"/>
    </row>
    <row r="17" spans="2:20" ht="15" x14ac:dyDescent="0.25">
      <c r="D17" s="386" t="str">
        <f>Q5&amp;" (Y)"</f>
        <v>χ² (Y)</v>
      </c>
      <c r="E17" s="387">
        <f>(($I$12-(F17))^2)*G9/$I$13</f>
        <v>52.672615596963425</v>
      </c>
      <c r="F17">
        <f>G9/2</f>
        <v>110</v>
      </c>
      <c r="G17" s="387">
        <f>_xlfn.CHISQ.DIST.RT(E17,1)/2</f>
        <v>1.9702359937231914E-13</v>
      </c>
      <c r="H17" s="388" t="str">
        <f>"Tabla "&amp;$Q$5</f>
        <v>Tabla χ²</v>
      </c>
      <c r="I17">
        <v>8.8000000000000007</v>
      </c>
      <c r="J17" s="375">
        <v>500</v>
      </c>
      <c r="K17" s="375">
        <v>20.7</v>
      </c>
      <c r="L17" t="str">
        <f>IF(OR(AND($I$11&gt;=I17,$G$9&lt;=J17),$I$11&gt;=K17),"OK!","Aproximación NO VÁLIDA")</f>
        <v>OK!</v>
      </c>
      <c r="Q17" s="485"/>
      <c r="R17" s="485"/>
      <c r="S17" s="485"/>
      <c r="T17" s="485"/>
    </row>
    <row r="18" spans="2:20" ht="15" x14ac:dyDescent="0.25">
      <c r="D18" s="389" t="s">
        <v>167</v>
      </c>
      <c r="E18" s="390">
        <f>SQRT(E17)</f>
        <v>7.2575902059129396</v>
      </c>
      <c r="F18" s="389"/>
      <c r="G18" s="390">
        <f>1-_xlfn.NORM.S.DIST(E18,1)</f>
        <v>1.9706458687096529E-13</v>
      </c>
      <c r="H18" s="391" t="s">
        <v>168</v>
      </c>
      <c r="I18" s="389"/>
      <c r="J18" s="389"/>
      <c r="K18" s="389"/>
      <c r="L18" s="389"/>
      <c r="M18" s="389"/>
      <c r="N18" s="389"/>
      <c r="Q18" s="485"/>
      <c r="R18" s="485"/>
      <c r="S18" s="485"/>
      <c r="T18" s="485"/>
    </row>
    <row r="19" spans="2:20" ht="15" x14ac:dyDescent="0.25">
      <c r="D19" t="str">
        <f>Q5&amp; " Conover"</f>
        <v>χ² Conover</v>
      </c>
      <c r="E19" s="387">
        <f>E17+(G9^3)/(4*I13)</f>
        <v>52.690986887508629</v>
      </c>
      <c r="G19" s="387">
        <f>_xlfn.CHISQ.DIST.RT(E19,1)/2</f>
        <v>1.9518924505412417E-13</v>
      </c>
      <c r="H19" s="388" t="str">
        <f>"Tabla "&amp;$Q$5</f>
        <v>Tabla χ²</v>
      </c>
      <c r="I19">
        <v>8.1</v>
      </c>
      <c r="J19" s="375">
        <v>500</v>
      </c>
      <c r="K19" s="375">
        <v>19.2</v>
      </c>
      <c r="L19" t="str">
        <f>IF(OR(AND($I$11&gt;=I19,$G$9&lt;=J19),$I$11&gt;=K19),"OK!","Aproximación NO VÁLIDA")</f>
        <v>OK!</v>
      </c>
      <c r="Q19" s="485"/>
      <c r="R19" s="485"/>
      <c r="S19" s="485"/>
      <c r="T19" s="485"/>
    </row>
    <row r="20" spans="2:20" ht="15" x14ac:dyDescent="0.25">
      <c r="D20" s="389" t="s">
        <v>169</v>
      </c>
      <c r="E20" s="390">
        <f>SQRT(E19)</f>
        <v>7.258855756075377</v>
      </c>
      <c r="F20" s="389"/>
      <c r="G20" s="390">
        <f>(1-_xlfn.NORM.S.DIST(E20,1))</f>
        <v>1.9517720772910252E-13</v>
      </c>
      <c r="H20" s="391" t="s">
        <v>168</v>
      </c>
      <c r="I20" s="389"/>
      <c r="J20" s="389"/>
      <c r="K20" s="389"/>
      <c r="L20" s="389"/>
      <c r="M20" s="389"/>
      <c r="N20" s="389"/>
      <c r="Q20" s="485"/>
      <c r="R20" s="485"/>
      <c r="S20" s="485"/>
      <c r="T20" s="485"/>
    </row>
    <row r="21" spans="2:20" ht="15" x14ac:dyDescent="0.25">
      <c r="C21" s="392" t="s">
        <v>170</v>
      </c>
      <c r="D21" s="393" t="s">
        <v>171</v>
      </c>
      <c r="E21" s="384"/>
      <c r="F21" s="383"/>
      <c r="G21" s="383"/>
      <c r="H21" s="384"/>
      <c r="I21" s="384"/>
      <c r="J21" s="384"/>
      <c r="K21" s="384"/>
      <c r="L21" s="384"/>
      <c r="M21" s="384"/>
      <c r="N21" s="384"/>
      <c r="Q21" s="485"/>
      <c r="R21" s="485"/>
      <c r="S21" s="485"/>
      <c r="T21" s="485"/>
    </row>
    <row r="22" spans="2:20" ht="15" x14ac:dyDescent="0.25">
      <c r="D22" s="386" t="str">
        <f>D17</f>
        <v>χ² (Y)</v>
      </c>
      <c r="E22" s="387">
        <f>E17</f>
        <v>52.672615596963425</v>
      </c>
      <c r="F22">
        <f>F17</f>
        <v>110</v>
      </c>
      <c r="G22" s="394">
        <f>2*G17</f>
        <v>3.9404719874463828E-13</v>
      </c>
      <c r="H22" s="395" t="s">
        <v>172</v>
      </c>
      <c r="Q22" s="485"/>
      <c r="R22" s="485"/>
      <c r="S22" s="485"/>
      <c r="T22" s="485"/>
    </row>
    <row r="23" spans="2:20" ht="15" x14ac:dyDescent="0.25">
      <c r="D23" s="373" t="s">
        <v>173</v>
      </c>
      <c r="F23" s="396" t="s">
        <v>174</v>
      </c>
      <c r="G23" s="396" t="s">
        <v>175</v>
      </c>
      <c r="H23" s="397" t="s">
        <v>176</v>
      </c>
      <c r="I23" s="459" t="s">
        <v>17</v>
      </c>
      <c r="J23" s="398">
        <f>IF(ABS(F24-H24)&gt;=ABS(G24-H24),F24,G24)</f>
        <v>20</v>
      </c>
      <c r="K23" s="399">
        <f>L23-J23</f>
        <v>80</v>
      </c>
      <c r="L23">
        <f>G7</f>
        <v>100</v>
      </c>
      <c r="Q23" s="485"/>
      <c r="R23" s="485"/>
      <c r="S23" s="485"/>
      <c r="T23" s="485"/>
    </row>
    <row r="24" spans="2:20" ht="15" x14ac:dyDescent="0.25">
      <c r="D24" s="384" t="s">
        <v>177</v>
      </c>
      <c r="E24" s="400">
        <f>((2*(E9*G7/G9))-E7)</f>
        <v>20.454545454545453</v>
      </c>
      <c r="F24" s="486">
        <f>TRUNC(E24)</f>
        <v>20</v>
      </c>
      <c r="G24" s="401">
        <f>F24+1</f>
        <v>21</v>
      </c>
      <c r="H24" s="402">
        <f>G7*E9/G9</f>
        <v>47.727272727272727</v>
      </c>
      <c r="I24" t="str">
        <f>IF(E7&gt;H24,"izda","dcha")</f>
        <v>izda</v>
      </c>
      <c r="J24" s="403">
        <f>J25-J23</f>
        <v>85</v>
      </c>
      <c r="K24" s="404">
        <f>K25-K23</f>
        <v>35</v>
      </c>
      <c r="L24">
        <f>G8</f>
        <v>120</v>
      </c>
      <c r="Q24" s="485"/>
      <c r="R24" s="485"/>
      <c r="S24" s="485"/>
      <c r="T24" s="485"/>
    </row>
    <row r="25" spans="2:20" x14ac:dyDescent="0.2">
      <c r="J25">
        <f>E9</f>
        <v>105</v>
      </c>
      <c r="K25">
        <f>F9</f>
        <v>115</v>
      </c>
      <c r="L25">
        <f>G9</f>
        <v>220</v>
      </c>
      <c r="Q25" s="485"/>
      <c r="R25" s="485"/>
      <c r="S25" s="485"/>
      <c r="T25" s="485"/>
    </row>
    <row r="26" spans="2:20" x14ac:dyDescent="0.2">
      <c r="D26" s="1356" t="s">
        <v>77</v>
      </c>
      <c r="E26" s="1356"/>
      <c r="F26" s="405" t="s">
        <v>90</v>
      </c>
      <c r="G26" s="405" t="s">
        <v>7</v>
      </c>
      <c r="H26" s="389"/>
      <c r="I26" s="405" t="str">
        <f>I16</f>
        <v>E</v>
      </c>
      <c r="J26" s="389" t="str">
        <f>J16</f>
        <v xml:space="preserve"> T</v>
      </c>
      <c r="K26" s="389" t="str">
        <f>K16</f>
        <v>E</v>
      </c>
      <c r="L26" s="389" t="str">
        <f>L16</f>
        <v>cdv</v>
      </c>
      <c r="M26" s="389"/>
      <c r="N26" s="389"/>
      <c r="Q26" s="485"/>
      <c r="R26" s="485"/>
      <c r="S26" s="485"/>
      <c r="T26" s="485"/>
    </row>
    <row r="27" spans="2:20" ht="15" x14ac:dyDescent="0.25">
      <c r="D27" s="386" t="str">
        <f>"# " &amp; D17</f>
        <v># χ² (Y)</v>
      </c>
      <c r="E27" s="394">
        <f>IF(J23&gt;=0,((ABS(J23*K24-K23*J24)-(L25/2))^2)*L25/(J25*K25*L23*L24),"-")</f>
        <v>54.47634230503796</v>
      </c>
      <c r="F27">
        <f>F17</f>
        <v>110</v>
      </c>
      <c r="G27" s="387">
        <f>IF(ISNUMBER(E27),_xlfn.CHISQ.DIST.RT(E27,1)/2,0)</f>
        <v>7.866525594351548E-14</v>
      </c>
      <c r="H27" s="388" t="str">
        <f>"Tabla "&amp;$Q$5</f>
        <v>Tabla χ²</v>
      </c>
      <c r="I27">
        <v>8.8000000000000007</v>
      </c>
      <c r="J27" s="375">
        <v>500</v>
      </c>
      <c r="K27" s="375">
        <v>20.7</v>
      </c>
      <c r="L27" s="487" t="str">
        <f>"Cálculos "&amp;Q5&amp;"(Y)"&amp;" para la cola "&amp;I24</f>
        <v>Cálculos χ²(Y) para la cola izda</v>
      </c>
      <c r="Q27" s="485"/>
      <c r="R27" s="485"/>
      <c r="S27" s="485"/>
      <c r="T27" s="485"/>
    </row>
    <row r="28" spans="2:20" ht="15" x14ac:dyDescent="0.25">
      <c r="D28" t="str">
        <f>"# "&amp;"Z'(Y)"</f>
        <v># Z'(Y)</v>
      </c>
      <c r="E28" s="394">
        <f>IF(ISNUMBER(E27),SQRT(E27),"-")</f>
        <v>7.380809054909764</v>
      </c>
      <c r="G28" s="387">
        <f>IF(ISNUMBER(E28),1-_xlfn.NORM.S.DIST(E28,1),0)</f>
        <v>7.8714812445923599E-14</v>
      </c>
      <c r="H28" s="388" t="s">
        <v>168</v>
      </c>
      <c r="Q28" s="485"/>
      <c r="R28" s="485"/>
      <c r="S28" s="485"/>
      <c r="T28" s="485"/>
    </row>
    <row r="29" spans="2:20" ht="15" x14ac:dyDescent="0.25">
      <c r="D29" s="389" t="s">
        <v>178</v>
      </c>
      <c r="E29" s="389"/>
      <c r="F29" s="389"/>
      <c r="G29" s="390">
        <f>G17+G27</f>
        <v>2.7568885531583461E-13</v>
      </c>
      <c r="H29" s="406" t="s">
        <v>179</v>
      </c>
      <c r="I29" s="389"/>
      <c r="J29" s="389"/>
      <c r="K29" s="389"/>
      <c r="L29" s="389" t="s">
        <v>180</v>
      </c>
      <c r="M29" s="389"/>
      <c r="N29" s="389"/>
      <c r="Q29" s="485"/>
      <c r="R29" s="485"/>
      <c r="S29" s="485"/>
      <c r="T29" s="485"/>
    </row>
    <row r="30" spans="2:20" x14ac:dyDescent="0.2">
      <c r="Q30" s="485"/>
      <c r="R30" s="485"/>
      <c r="S30" s="485"/>
      <c r="T30" s="485"/>
    </row>
    <row r="31" spans="2:20" ht="15.75" thickBot="1" x14ac:dyDescent="0.3">
      <c r="B31" s="796"/>
      <c r="C31" s="378" t="s">
        <v>181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Q31" s="485"/>
      <c r="R31" s="485"/>
      <c r="S31" s="485"/>
      <c r="T31" s="485"/>
    </row>
    <row r="32" spans="2:20" ht="15" x14ac:dyDescent="0.25">
      <c r="C32" s="407" t="s">
        <v>164</v>
      </c>
      <c r="D32" s="408" t="str">
        <f>Q7</f>
        <v>P1&gt;P2</v>
      </c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Q32" s="485"/>
      <c r="R32" s="485"/>
      <c r="S32" s="485"/>
      <c r="T32" s="485"/>
    </row>
    <row r="33" spans="2:14" x14ac:dyDescent="0.2">
      <c r="D33" s="1358" t="str">
        <f>D26</f>
        <v>Estadístico</v>
      </c>
      <c r="E33" s="1358"/>
      <c r="F33" s="383" t="s">
        <v>90</v>
      </c>
      <c r="G33" s="383" t="s">
        <v>7</v>
      </c>
      <c r="H33" s="384"/>
      <c r="I33" s="383" t="s">
        <v>165</v>
      </c>
      <c r="J33" s="385" t="str">
        <f>J26</f>
        <v xml:space="preserve"> T</v>
      </c>
      <c r="K33" s="385" t="s">
        <v>165</v>
      </c>
      <c r="L33" s="384" t="s">
        <v>166</v>
      </c>
      <c r="M33" s="384"/>
      <c r="N33" s="384"/>
    </row>
    <row r="34" spans="2:14" ht="15" x14ac:dyDescent="0.25">
      <c r="D34" s="386" t="str">
        <f>Q5&amp;"(II)"</f>
        <v>χ²(II)</v>
      </c>
      <c r="E34" s="387">
        <f>(($I$12-F34)^2)*($G$9-1)/$I$13</f>
        <v>54.391802753623189</v>
      </c>
      <c r="F34">
        <f>IF(G7&lt;&gt;G8,1,2)</f>
        <v>1</v>
      </c>
      <c r="G34" s="387">
        <f>_xlfn.CHISQ.DIST.RT(E34,1)/2</f>
        <v>8.2123291735371909E-14</v>
      </c>
      <c r="H34" s="388" t="str">
        <f>"Tabla "&amp;$Q$5</f>
        <v>Tabla χ²</v>
      </c>
      <c r="I34">
        <v>7.2</v>
      </c>
      <c r="J34" s="375">
        <v>500</v>
      </c>
      <c r="K34" s="375">
        <v>14.8</v>
      </c>
      <c r="L34" t="str">
        <f>IF(OR(AND($I$11&gt;=I34,$G$9&lt;=J34),$I$11&gt;=K34),"OK!","Aproximación NO VÁLIDA")</f>
        <v>OK!</v>
      </c>
      <c r="M34" s="798" t="s">
        <v>206</v>
      </c>
    </row>
    <row r="35" spans="2:14" ht="15" x14ac:dyDescent="0.25">
      <c r="D35" t="s">
        <v>182</v>
      </c>
      <c r="E35" s="387">
        <f>SQRT(E34)</f>
        <v>7.3750798472710235</v>
      </c>
      <c r="G35" s="387">
        <f>1-_xlfn.NORM.S.DIST(E35,1)</f>
        <v>8.2156503822261584E-14</v>
      </c>
      <c r="H35" s="388" t="s">
        <v>168</v>
      </c>
    </row>
    <row r="36" spans="2:14" ht="15" x14ac:dyDescent="0.25">
      <c r="C36" s="392" t="s">
        <v>170</v>
      </c>
      <c r="D36" s="393" t="s">
        <v>183</v>
      </c>
      <c r="E36" s="409"/>
      <c r="F36" s="384"/>
      <c r="G36" s="409"/>
      <c r="H36" s="410"/>
      <c r="I36" s="384"/>
      <c r="J36" s="385"/>
      <c r="K36" s="385"/>
      <c r="L36" s="384"/>
      <c r="M36" s="384"/>
      <c r="N36" s="384"/>
    </row>
    <row r="37" spans="2:14" ht="15" x14ac:dyDescent="0.25">
      <c r="D37" t="str">
        <f>D34</f>
        <v>χ²(II)</v>
      </c>
      <c r="E37" s="387">
        <f>E34</f>
        <v>54.391802753623189</v>
      </c>
      <c r="F37">
        <f>F34</f>
        <v>1</v>
      </c>
      <c r="G37" s="387">
        <f>2*G34</f>
        <v>1.6424658347074382E-13</v>
      </c>
      <c r="H37" s="388"/>
      <c r="I37">
        <f>I34</f>
        <v>7.2</v>
      </c>
      <c r="J37" s="375">
        <f>J34</f>
        <v>500</v>
      </c>
      <c r="K37" s="375">
        <f>K34</f>
        <v>14.8</v>
      </c>
      <c r="L37" t="str">
        <f>L34</f>
        <v>OK!</v>
      </c>
    </row>
    <row r="38" spans="2:14" x14ac:dyDescent="0.2">
      <c r="D38" s="389" t="str">
        <f>D35</f>
        <v>Z(II)</v>
      </c>
      <c r="E38" s="390">
        <f>E35</f>
        <v>7.3750798472710235</v>
      </c>
      <c r="F38" s="389"/>
      <c r="G38" s="390">
        <f>2*G35</f>
        <v>1.6431300764452317E-13</v>
      </c>
      <c r="H38" s="389"/>
      <c r="I38" s="389"/>
      <c r="J38" s="389"/>
      <c r="K38" s="389"/>
      <c r="L38" s="389"/>
      <c r="M38" s="389"/>
      <c r="N38" s="389"/>
    </row>
    <row r="40" spans="2:14" ht="15.75" thickBot="1" x14ac:dyDescent="0.3">
      <c r="B40" s="796"/>
      <c r="C40" s="378" t="s">
        <v>184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5" x14ac:dyDescent="0.25">
      <c r="C41" s="407" t="str">
        <f>C32</f>
        <v>1 cola</v>
      </c>
      <c r="D41" s="408" t="str">
        <f>D15</f>
        <v>Asociación +</v>
      </c>
      <c r="E41" s="463"/>
    </row>
    <row r="42" spans="2:14" x14ac:dyDescent="0.2">
      <c r="D42" s="1356" t="str">
        <f>D33</f>
        <v>Estadístico</v>
      </c>
      <c r="E42" s="1356"/>
      <c r="F42" s="383" t="s">
        <v>90</v>
      </c>
      <c r="G42" s="383" t="s">
        <v>7</v>
      </c>
      <c r="H42" s="384"/>
      <c r="I42" s="383" t="s">
        <v>165</v>
      </c>
      <c r="J42" s="385" t="str">
        <f>J33</f>
        <v xml:space="preserve"> T</v>
      </c>
      <c r="K42" s="385" t="s">
        <v>165</v>
      </c>
      <c r="L42" s="384" t="s">
        <v>166</v>
      </c>
      <c r="M42" s="384"/>
      <c r="N42" s="384"/>
    </row>
    <row r="43" spans="2:14" ht="15" x14ac:dyDescent="0.25">
      <c r="D43" s="386" t="str">
        <f>Q5&amp;"(I)"</f>
        <v>χ²(I)</v>
      </c>
      <c r="E43" s="387">
        <f>(($I$12-F43)^2)*($G$9-1)/$I$13</f>
        <v>54.40086994306418</v>
      </c>
      <c r="F43">
        <v>0.5</v>
      </c>
      <c r="G43" s="387">
        <f>_xlfn.CHISQ.DIST.RT(E43,1)/2</f>
        <v>8.1745237624775096E-14</v>
      </c>
      <c r="H43" s="388" t="str">
        <f>"Tabla "&amp;$Q$5</f>
        <v>Tabla χ²</v>
      </c>
      <c r="I43">
        <v>3</v>
      </c>
      <c r="J43" s="375">
        <v>500</v>
      </c>
      <c r="K43" s="375">
        <v>3.9</v>
      </c>
      <c r="L43" t="str">
        <f>IF(OR(AND($I$11&gt;=I43,$G$9&lt;=J43),$I$11&gt;=K43),"OK!","Aproximación NO VÁLIDA")</f>
        <v>OK!</v>
      </c>
      <c r="M43" t="s">
        <v>206</v>
      </c>
    </row>
    <row r="44" spans="2:14" ht="15" x14ac:dyDescent="0.25">
      <c r="D44" s="411" t="s">
        <v>185</v>
      </c>
      <c r="E44" s="412">
        <f>SQRT(E43)</f>
        <v>7.3756945397070357</v>
      </c>
      <c r="F44" s="411"/>
      <c r="G44" s="412">
        <f>1-_xlfn.NORM.S.DIST(E44,1)</f>
        <v>8.1712414612411521E-14</v>
      </c>
      <c r="H44" s="413" t="s">
        <v>168</v>
      </c>
      <c r="I44" s="411"/>
      <c r="J44" s="411"/>
      <c r="K44" s="411"/>
      <c r="L44" s="411"/>
      <c r="M44" s="411"/>
      <c r="N44" s="411"/>
    </row>
    <row r="45" spans="2:14" ht="15" x14ac:dyDescent="0.25">
      <c r="C45" s="392" t="s">
        <v>170</v>
      </c>
      <c r="D45" s="393" t="s">
        <v>171</v>
      </c>
      <c r="E45" s="384"/>
      <c r="F45" s="384"/>
      <c r="G45" s="384"/>
      <c r="H45" s="410"/>
      <c r="I45" s="384"/>
      <c r="J45" s="384"/>
      <c r="K45" s="384"/>
      <c r="L45" s="384"/>
      <c r="M45" s="384"/>
      <c r="N45" s="384"/>
    </row>
    <row r="46" spans="2:14" x14ac:dyDescent="0.2">
      <c r="D46" t="str">
        <f>D43</f>
        <v>χ²(I)</v>
      </c>
      <c r="E46" s="387">
        <f>E43</f>
        <v>54.40086994306418</v>
      </c>
      <c r="F46">
        <f>F43</f>
        <v>0.5</v>
      </c>
      <c r="G46" s="387">
        <f>2*G43</f>
        <v>1.6349047524955019E-13</v>
      </c>
      <c r="I46" s="411">
        <v>3.9</v>
      </c>
      <c r="J46" s="414">
        <v>500</v>
      </c>
      <c r="K46" s="414">
        <v>6.2</v>
      </c>
      <c r="L46" t="str">
        <f>IF(OR(AND($I$11&gt;=I46,$G$9&lt;=J46),$I$11&gt;=K46),"OK!","Aproximación NO VÁLIDA")</f>
        <v>OK!</v>
      </c>
      <c r="M46" t="s">
        <v>206</v>
      </c>
    </row>
    <row r="47" spans="2:14" x14ac:dyDescent="0.2">
      <c r="D47" s="389" t="str">
        <f>D44</f>
        <v>Z(I)</v>
      </c>
      <c r="E47" s="390">
        <f>E44</f>
        <v>7.3756945397070357</v>
      </c>
      <c r="F47" s="389"/>
      <c r="G47" s="390">
        <f>2*G44</f>
        <v>1.6342482922482304E-13</v>
      </c>
      <c r="H47" s="389"/>
      <c r="I47" s="389"/>
      <c r="J47" s="389"/>
      <c r="K47" s="389"/>
      <c r="L47" s="389"/>
      <c r="M47" s="389"/>
      <c r="N47" s="389"/>
    </row>
    <row r="49" spans="3:14" ht="13.5" thickBot="1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 algorithmName="SHA-512" hashValue="T6RhAWErt3K0uVGau+efwDajgj/WsJPqL5ZL8/kk5zJb/zuT/pgWYdUQZN51SUix79s5eKC5OhAWgQKUwqKx8Q==" saltValue="k8da3HvZLJqsUybEWQoKtw==" spinCount="100000" sheet="1" objects="1" scenarios="1" formatCells="0" formatColumns="0" formatRows="0"/>
  <mergeCells count="8">
    <mergeCell ref="A1:B1"/>
    <mergeCell ref="A2:D2"/>
    <mergeCell ref="D42:E42"/>
    <mergeCell ref="G12:H12"/>
    <mergeCell ref="G13:H13"/>
    <mergeCell ref="D16:E16"/>
    <mergeCell ref="D26:E26"/>
    <mergeCell ref="D33:E33"/>
  </mergeCells>
  <conditionalFormatting sqref="J23">
    <cfRule type="expression" dxfId="14" priority="1">
      <formula>$J$23&lt;0</formula>
    </cfRule>
  </conditionalFormatting>
  <hyperlinks>
    <hyperlink ref="A2" location="Presentación!A1" display="&lt; Volver a presentación"/>
    <hyperlink ref="A2:D2" location="INICIO!A1" display="&lt; INICIO"/>
  </hyperlink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workbookViewId="0">
      <pane ySplit="4" topLeftCell="A5" activePane="bottomLeft" state="frozenSplit"/>
      <selection activeCell="B4" sqref="B4:E4"/>
      <selection pane="bottomLeft" activeCell="B4" sqref="B4:E4"/>
    </sheetView>
  </sheetViews>
  <sheetFormatPr baseColWidth="10" defaultRowHeight="12.75" x14ac:dyDescent="0.2"/>
  <cols>
    <col min="1" max="1" width="4" customWidth="1"/>
    <col min="2" max="2" width="6.140625" style="924" customWidth="1"/>
    <col min="3" max="3" width="12.42578125" customWidth="1"/>
    <col min="4" max="4" width="14.85546875" customWidth="1"/>
    <col min="5" max="5" width="13.85546875" customWidth="1"/>
    <col min="6" max="6" width="12.140625" customWidth="1"/>
    <col min="7" max="7" width="8.7109375" customWidth="1"/>
    <col min="8" max="8" width="7.42578125" customWidth="1"/>
    <col min="9" max="9" width="9.5703125" customWidth="1"/>
    <col min="10" max="10" width="8.5703125" customWidth="1"/>
    <col min="11" max="11" width="10" customWidth="1"/>
  </cols>
  <sheetData>
    <row r="1" spans="1:21" s="199" customFormat="1" ht="15.75" x14ac:dyDescent="0.25">
      <c r="B1" s="1034"/>
      <c r="C1" s="1030"/>
      <c r="D1" s="1033"/>
      <c r="E1" s="200"/>
      <c r="F1" s="200"/>
      <c r="I1" s="1032" t="s">
        <v>64</v>
      </c>
      <c r="J1" s="1026" t="s">
        <v>66</v>
      </c>
      <c r="K1" s="1031"/>
      <c r="L1" s="1027" t="s">
        <v>65</v>
      </c>
      <c r="M1" s="1031" t="s">
        <v>61</v>
      </c>
      <c r="N1" s="199" t="s">
        <v>61</v>
      </c>
      <c r="P1" s="199" t="s">
        <v>61</v>
      </c>
      <c r="Q1" s="199" t="s">
        <v>61</v>
      </c>
    </row>
    <row r="2" spans="1:21" s="200" customFormat="1" ht="15.75" x14ac:dyDescent="0.25">
      <c r="B2" s="199" t="s">
        <v>62</v>
      </c>
      <c r="C2" s="1030"/>
      <c r="D2" s="1030"/>
      <c r="E2" s="1030"/>
      <c r="F2" s="1030"/>
      <c r="G2" s="1030"/>
      <c r="I2" s="1028" t="s">
        <v>61</v>
      </c>
      <c r="J2" s="1029" t="s">
        <v>63</v>
      </c>
      <c r="K2" s="1028"/>
      <c r="L2" s="1027" t="s">
        <v>65</v>
      </c>
      <c r="M2" s="1026" t="s">
        <v>61</v>
      </c>
      <c r="N2" s="200" t="s">
        <v>61</v>
      </c>
      <c r="P2" s="200" t="s">
        <v>61</v>
      </c>
      <c r="Q2" s="200" t="s">
        <v>61</v>
      </c>
    </row>
    <row r="3" spans="1:21" s="200" customFormat="1" ht="15.75" x14ac:dyDescent="0.25">
      <c r="A3" s="1030" t="s">
        <v>61</v>
      </c>
      <c r="B3" s="1030" t="s">
        <v>458</v>
      </c>
      <c r="C3" s="1030"/>
      <c r="D3" s="1030"/>
      <c r="E3" s="1030"/>
      <c r="F3" s="1030"/>
      <c r="G3" s="1030" t="s">
        <v>61</v>
      </c>
      <c r="H3" s="200" t="s">
        <v>61</v>
      </c>
      <c r="I3" s="1028" t="s">
        <v>61</v>
      </c>
      <c r="J3" s="1026" t="s">
        <v>79</v>
      </c>
      <c r="K3" s="1028"/>
      <c r="L3" s="1027"/>
      <c r="M3" s="1026"/>
      <c r="Q3" s="200" t="s">
        <v>61</v>
      </c>
    </row>
    <row r="4" spans="1:21" s="200" customFormat="1" ht="15.75" x14ac:dyDescent="0.25">
      <c r="A4" s="1030" t="s">
        <v>61</v>
      </c>
      <c r="B4" s="1359">
        <v>42654</v>
      </c>
      <c r="C4" s="1359"/>
      <c r="D4" s="1359"/>
      <c r="E4" s="1359"/>
      <c r="F4" s="1030" t="s">
        <v>61</v>
      </c>
      <c r="G4" s="1030" t="s">
        <v>61</v>
      </c>
      <c r="H4" s="200" t="s">
        <v>61</v>
      </c>
      <c r="I4" s="1028" t="s">
        <v>61</v>
      </c>
      <c r="J4" s="1029" t="s">
        <v>61</v>
      </c>
      <c r="K4" s="1028" t="s">
        <v>61</v>
      </c>
      <c r="L4" s="1027" t="s">
        <v>61</v>
      </c>
      <c r="M4" s="1026" t="s">
        <v>61</v>
      </c>
      <c r="N4" s="200" t="s">
        <v>61</v>
      </c>
      <c r="P4" s="200" t="s">
        <v>61</v>
      </c>
      <c r="Q4" s="200" t="s">
        <v>61</v>
      </c>
    </row>
    <row r="5" spans="1:21" s="6" customFormat="1" ht="12.75" customHeight="1" x14ac:dyDescent="0.2">
      <c r="B5" s="1025"/>
    </row>
    <row r="6" spans="1:21" s="8" customFormat="1" ht="12.75" customHeight="1" x14ac:dyDescent="0.2">
      <c r="B6" s="1010"/>
      <c r="C6" s="7"/>
      <c r="H6" s="7"/>
      <c r="I6" s="7"/>
      <c r="J6" s="9"/>
      <c r="K6" s="10"/>
      <c r="L6" s="7"/>
      <c r="M6" s="7"/>
      <c r="N6" s="7"/>
      <c r="O6" s="7"/>
      <c r="P6" s="7"/>
    </row>
    <row r="7" spans="1:21" s="6" customFormat="1" ht="12.75" customHeight="1" x14ac:dyDescent="0.2">
      <c r="B7" s="1009">
        <v>1</v>
      </c>
      <c r="C7" s="11" t="s">
        <v>0</v>
      </c>
      <c r="D7" s="1360" t="str">
        <f>'Test McNemar'!D5:F5</f>
        <v>Estudio pretest-postest</v>
      </c>
      <c r="E7" s="1360"/>
      <c r="F7" s="1360"/>
      <c r="G7" s="1008"/>
      <c r="H7" s="7"/>
      <c r="I7" s="7"/>
      <c r="J7" s="7"/>
      <c r="K7" s="7"/>
      <c r="L7" s="7"/>
      <c r="M7" s="7"/>
      <c r="N7" s="7"/>
      <c r="O7" s="7"/>
      <c r="P7" s="7"/>
    </row>
    <row r="8" spans="1:21" s="6" customFormat="1" ht="12.75" customHeight="1" x14ac:dyDescent="0.2">
      <c r="B8" s="594"/>
      <c r="C8" s="13" t="s">
        <v>457</v>
      </c>
      <c r="D8" s="1360" t="str">
        <f>'Test McNemar'!D6:F6</f>
        <v>Posttest</v>
      </c>
      <c r="E8" s="1360"/>
      <c r="F8" s="1360"/>
      <c r="G8" s="1007"/>
      <c r="H8" s="15"/>
      <c r="I8" s="16"/>
      <c r="J8" s="16"/>
    </row>
    <row r="9" spans="1:21" s="6" customFormat="1" ht="12.75" customHeight="1" x14ac:dyDescent="0.25">
      <c r="B9" s="594"/>
      <c r="C9" s="1006" t="s">
        <v>71</v>
      </c>
      <c r="D9" s="1024"/>
      <c r="E9" s="1022" t="str">
        <f>'Test McNemar'!E7</f>
        <v>si</v>
      </c>
      <c r="F9" s="1022" t="str">
        <f>'Test McNemar'!F7</f>
        <v>no</v>
      </c>
      <c r="G9" s="1001"/>
      <c r="H9" s="1005"/>
      <c r="I9" s="4"/>
      <c r="J9" s="16"/>
      <c r="L9" s="4"/>
      <c r="M9" s="4"/>
      <c r="N9" s="4"/>
      <c r="O9" s="4"/>
      <c r="P9" s="4"/>
    </row>
    <row r="10" spans="1:21" s="6" customFormat="1" ht="12.75" customHeight="1" x14ac:dyDescent="0.2">
      <c r="B10" s="594"/>
      <c r="C10" s="13" t="s">
        <v>456</v>
      </c>
      <c r="D10" s="1360" t="str">
        <f>'Test McNemar'!D8:F8</f>
        <v>Pretest</v>
      </c>
      <c r="E10" s="1360"/>
      <c r="F10" s="1360"/>
      <c r="G10" s="1001"/>
      <c r="H10" s="1005"/>
      <c r="I10" s="4"/>
      <c r="J10" s="16"/>
      <c r="L10" s="4"/>
      <c r="M10" s="4"/>
      <c r="N10" s="4"/>
      <c r="O10" s="4"/>
      <c r="P10" s="4"/>
    </row>
    <row r="11" spans="1:21" s="6" customFormat="1" ht="12.75" customHeight="1" x14ac:dyDescent="0.2">
      <c r="B11" s="594"/>
      <c r="C11" s="1004" t="s">
        <v>71</v>
      </c>
      <c r="D11" s="1023"/>
      <c r="E11" s="1022" t="str">
        <f>'Test McNemar'!E9</f>
        <v>si</v>
      </c>
      <c r="F11" s="1022" t="str">
        <f>'Test McNemar'!F9</f>
        <v>no</v>
      </c>
      <c r="G11" s="1001"/>
      <c r="H11" s="1000"/>
      <c r="J11" s="16"/>
      <c r="L11" s="4"/>
      <c r="M11" s="4"/>
      <c r="N11" s="4"/>
      <c r="O11" s="4"/>
      <c r="P11" s="4"/>
    </row>
    <row r="12" spans="1:21" s="25" customFormat="1" ht="12.75" customHeight="1" x14ac:dyDescent="0.25">
      <c r="B12" s="998"/>
      <c r="D12" s="997"/>
      <c r="E12" s="997"/>
      <c r="F12" s="997"/>
      <c r="G12" s="18"/>
      <c r="H12" s="24"/>
      <c r="I12" s="24"/>
      <c r="J12" s="24"/>
      <c r="K12" s="24"/>
      <c r="L12" s="27"/>
      <c r="M12" s="27"/>
      <c r="N12" s="27"/>
      <c r="O12" s="27"/>
      <c r="P12" s="27"/>
      <c r="Q12" s="1333"/>
      <c r="R12" s="1333"/>
      <c r="S12" s="6"/>
      <c r="T12" s="6"/>
      <c r="U12" s="6"/>
    </row>
    <row r="13" spans="1:21" s="25" customFormat="1" ht="12.75" customHeight="1" x14ac:dyDescent="0.25">
      <c r="B13" s="998"/>
      <c r="C13" s="72" t="s">
        <v>455</v>
      </c>
      <c r="D13" s="72"/>
      <c r="E13" s="1021">
        <f>'Test McNemar'!E11</f>
        <v>0.95</v>
      </c>
      <c r="F13" s="73" t="s">
        <v>74</v>
      </c>
      <c r="G13" s="999">
        <f>NORMSINV(1-(1-E13)/2)</f>
        <v>1.9599639845400536</v>
      </c>
      <c r="H13" s="24"/>
      <c r="I13" s="24"/>
      <c r="J13" s="24"/>
      <c r="K13" s="24"/>
      <c r="L13" s="27"/>
      <c r="M13" s="27"/>
      <c r="N13" s="27"/>
      <c r="O13" s="27"/>
      <c r="P13" s="27"/>
      <c r="Q13" s="1333"/>
      <c r="R13" s="1333"/>
      <c r="S13" s="6"/>
      <c r="T13" s="6"/>
      <c r="U13" s="6"/>
    </row>
    <row r="14" spans="1:21" s="25" customFormat="1" ht="12.75" customHeight="1" x14ac:dyDescent="0.25">
      <c r="B14" s="998"/>
      <c r="D14" s="997"/>
      <c r="E14" s="997"/>
      <c r="F14" s="997"/>
      <c r="G14" s="18"/>
      <c r="H14" s="24"/>
      <c r="I14" s="24"/>
      <c r="J14" s="24"/>
      <c r="K14" s="24"/>
      <c r="L14" s="27"/>
      <c r="M14" s="27"/>
      <c r="N14" s="27"/>
      <c r="O14" s="27"/>
      <c r="P14" s="27"/>
      <c r="Q14" s="1333"/>
      <c r="R14" s="1333"/>
      <c r="S14" s="6"/>
      <c r="T14" s="6"/>
      <c r="U14" s="6"/>
    </row>
    <row r="15" spans="1:21" s="25" customFormat="1" ht="12.75" customHeight="1" thickBot="1" x14ac:dyDescent="0.25">
      <c r="B15" s="996">
        <v>2</v>
      </c>
      <c r="C15" s="146" t="s">
        <v>58</v>
      </c>
      <c r="D15" s="146"/>
      <c r="E15" s="146"/>
      <c r="F15" s="146"/>
      <c r="G15" s="146"/>
      <c r="H15" s="146"/>
      <c r="I15" s="146"/>
      <c r="J15" s="146"/>
      <c r="K15" s="146"/>
      <c r="L15" s="27"/>
      <c r="M15" s="27"/>
      <c r="N15" s="27"/>
      <c r="O15" s="27"/>
      <c r="P15" s="27"/>
      <c r="Q15" s="1333"/>
      <c r="R15" s="1333"/>
      <c r="S15" s="6"/>
      <c r="T15" s="6"/>
      <c r="U15" s="6"/>
    </row>
    <row r="16" spans="1:21" s="25" customFormat="1" ht="12.75" customHeight="1" thickBot="1" x14ac:dyDescent="0.25">
      <c r="B16" s="981"/>
      <c r="C16" s="980"/>
      <c r="D16" s="980"/>
      <c r="E16" s="980"/>
      <c r="F16" s="980"/>
      <c r="G16" s="980"/>
      <c r="H16" s="980"/>
      <c r="I16" s="980"/>
      <c r="J16" s="980"/>
      <c r="K16" s="980"/>
      <c r="L16" s="27"/>
      <c r="M16" s="27"/>
      <c r="N16" s="27"/>
      <c r="O16" s="27"/>
      <c r="P16" s="27"/>
      <c r="Q16" s="6"/>
      <c r="R16" s="6"/>
      <c r="S16" s="6"/>
      <c r="T16" s="6"/>
      <c r="U16" s="6"/>
    </row>
    <row r="17" spans="1:21" s="25" customFormat="1" ht="12.75" customHeight="1" thickBot="1" x14ac:dyDescent="0.25">
      <c r="B17" s="83"/>
      <c r="C17" s="1320" t="str">
        <f>D7</f>
        <v>Estudio pretest-postest</v>
      </c>
      <c r="D17" s="1321"/>
      <c r="E17" s="1324" t="str">
        <f>IF(ISBLANK(D8),C8,D8)</f>
        <v>Posttest</v>
      </c>
      <c r="F17" s="1325"/>
      <c r="G17" s="980"/>
      <c r="H17" s="980"/>
      <c r="I17" s="980"/>
      <c r="J17" s="980"/>
      <c r="K17" s="980"/>
      <c r="Q17" s="6"/>
      <c r="R17" s="6"/>
      <c r="S17" s="6"/>
      <c r="T17" s="6"/>
      <c r="U17" s="6"/>
    </row>
    <row r="18" spans="1:21" s="25" customFormat="1" ht="12.75" customHeight="1" thickBot="1" x14ac:dyDescent="0.25">
      <c r="B18" s="981"/>
      <c r="C18" s="1322"/>
      <c r="D18" s="1323"/>
      <c r="E18" s="979" t="str">
        <f>IF(ISBLANK(E9),"Presente",E9)</f>
        <v>si</v>
      </c>
      <c r="F18" s="978" t="str">
        <f>IF(ISBLANK(F9),"Ausente",F9)</f>
        <v>no</v>
      </c>
      <c r="G18" s="980"/>
      <c r="H18" s="980"/>
      <c r="I18" s="1326" t="s">
        <v>454</v>
      </c>
      <c r="J18" s="1327"/>
      <c r="K18" s="1328"/>
      <c r="Q18" s="6"/>
      <c r="R18" s="6"/>
      <c r="S18" s="6"/>
      <c r="T18" s="6"/>
      <c r="U18" s="6"/>
    </row>
    <row r="19" spans="1:21" s="25" customFormat="1" ht="12.75" customHeight="1" x14ac:dyDescent="0.2">
      <c r="B19" s="981"/>
      <c r="C19" s="1329" t="str">
        <f>IF(ISBLANK(D10),C10,D10)</f>
        <v>Pretest</v>
      </c>
      <c r="D19" s="995" t="str">
        <f>IF(ISBLANK(E11),"Presente",E11)</f>
        <v>si</v>
      </c>
      <c r="E19" s="1020">
        <f>'Test McNemar'!E17</f>
        <v>30</v>
      </c>
      <c r="F19" s="1020">
        <f>'Test McNemar'!F17</f>
        <v>11</v>
      </c>
      <c r="G19" s="992">
        <f>E19+F19</f>
        <v>41</v>
      </c>
      <c r="H19" s="976"/>
      <c r="I19" s="991">
        <f t="shared" ref="I19:K21" si="0">E19/$G$21</f>
        <v>0.42857142857142855</v>
      </c>
      <c r="J19" s="990">
        <f t="shared" si="0"/>
        <v>0.15714285714285714</v>
      </c>
      <c r="K19" s="989">
        <f t="shared" si="0"/>
        <v>0.58571428571428574</v>
      </c>
      <c r="L19" s="988" t="s">
        <v>453</v>
      </c>
      <c r="M19" s="982"/>
      <c r="Q19" s="6"/>
      <c r="R19" s="6"/>
      <c r="S19" s="6"/>
      <c r="T19" s="6"/>
      <c r="U19" s="6"/>
    </row>
    <row r="20" spans="1:21" s="25" customFormat="1" ht="12.75" customHeight="1" thickBot="1" x14ac:dyDescent="0.25">
      <c r="B20" s="981"/>
      <c r="C20" s="1330"/>
      <c r="D20" s="987" t="str">
        <f>IF(ISBLANK(F11),"Ausente",F11)</f>
        <v>no</v>
      </c>
      <c r="E20" s="1020">
        <f>'Test McNemar'!E18</f>
        <v>8</v>
      </c>
      <c r="F20" s="1020">
        <f>'Test McNemar'!F18</f>
        <v>21</v>
      </c>
      <c r="G20" s="978">
        <f>E20+F20</f>
        <v>29</v>
      </c>
      <c r="H20" s="976"/>
      <c r="I20" s="986">
        <f t="shared" si="0"/>
        <v>0.11428571428571428</v>
      </c>
      <c r="J20" s="985">
        <f t="shared" si="0"/>
        <v>0.3</v>
      </c>
      <c r="K20" s="984">
        <f t="shared" si="0"/>
        <v>0.41428571428571431</v>
      </c>
      <c r="L20" s="983"/>
      <c r="M20" s="982"/>
      <c r="Q20" s="6"/>
      <c r="R20" s="6"/>
      <c r="S20" s="6"/>
      <c r="T20" s="6"/>
      <c r="U20" s="6"/>
    </row>
    <row r="21" spans="1:21" s="25" customFormat="1" ht="12.75" customHeight="1" thickBot="1" x14ac:dyDescent="0.25">
      <c r="B21" s="981"/>
      <c r="C21" s="980"/>
      <c r="D21" s="980"/>
      <c r="E21" s="979">
        <f>E19+E20</f>
        <v>38</v>
      </c>
      <c r="F21" s="978">
        <f>F19+F20</f>
        <v>32</v>
      </c>
      <c r="G21" s="977">
        <f>E21+F21</f>
        <v>70</v>
      </c>
      <c r="H21" s="976"/>
      <c r="I21" s="975">
        <f t="shared" si="0"/>
        <v>0.54285714285714282</v>
      </c>
      <c r="J21" s="974">
        <f t="shared" si="0"/>
        <v>0.45714285714285713</v>
      </c>
      <c r="K21" s="973">
        <f t="shared" si="0"/>
        <v>1</v>
      </c>
      <c r="Q21" s="6"/>
      <c r="R21" s="6"/>
      <c r="S21" s="6"/>
      <c r="T21" s="6"/>
      <c r="U21" s="6"/>
    </row>
    <row r="22" spans="1:21" x14ac:dyDescent="0.2">
      <c r="I22" s="972" t="s">
        <v>452</v>
      </c>
      <c r="Q22" s="914"/>
      <c r="R22" s="914"/>
      <c r="S22" s="914"/>
      <c r="T22" s="914"/>
      <c r="U22" s="914"/>
    </row>
    <row r="23" spans="1:21" x14ac:dyDescent="0.2">
      <c r="Q23" s="914"/>
      <c r="R23" s="914"/>
      <c r="S23" s="914"/>
      <c r="T23" s="914"/>
      <c r="U23" s="914"/>
    </row>
    <row r="24" spans="1:21" x14ac:dyDescent="0.2">
      <c r="C24" s="793"/>
      <c r="D24" s="971"/>
      <c r="E24" s="971"/>
      <c r="F24" s="793"/>
      <c r="G24" s="793"/>
      <c r="J24" s="970"/>
      <c r="K24" s="970"/>
      <c r="M24" s="926"/>
      <c r="N24" s="926"/>
      <c r="O24" s="926"/>
      <c r="P24" s="926"/>
    </row>
    <row r="25" spans="1:21" ht="15.75" thickBot="1" x14ac:dyDescent="0.3">
      <c r="B25" s="502">
        <v>3</v>
      </c>
      <c r="C25" s="943" t="s">
        <v>451</v>
      </c>
      <c r="D25" s="1"/>
      <c r="E25" s="1"/>
      <c r="F25" s="1"/>
      <c r="G25" s="969"/>
      <c r="H25" s="1"/>
      <c r="I25" s="1"/>
      <c r="J25" s="1"/>
      <c r="K25" s="1"/>
      <c r="M25" s="966"/>
      <c r="N25" s="968"/>
      <c r="O25" s="967"/>
      <c r="P25" s="966"/>
    </row>
    <row r="26" spans="1:21" x14ac:dyDescent="0.2">
      <c r="C26" s="965" t="s">
        <v>207</v>
      </c>
      <c r="D26" s="930" t="str">
        <f>F19&amp;"+"&amp;E20&amp;"="</f>
        <v>11+8=</v>
      </c>
      <c r="E26" s="964">
        <f>E20+F19</f>
        <v>19</v>
      </c>
      <c r="F26" s="793" t="str">
        <f>IF(E26&gt;10,"&gt; 10 (procedimiento válido)","&lt; 10 (Procedimiento NO válido)")</f>
        <v>&gt; 10 (procedimiento válido)</v>
      </c>
      <c r="G26" s="793"/>
      <c r="M26" s="934"/>
      <c r="N26" s="935"/>
      <c r="O26" s="934"/>
      <c r="P26" s="926"/>
      <c r="Q26" s="963"/>
    </row>
    <row r="27" spans="1:21" ht="15" x14ac:dyDescent="0.25">
      <c r="C27" s="793"/>
      <c r="D27" s="793"/>
      <c r="E27" s="793"/>
      <c r="F27" s="793"/>
      <c r="G27" s="793"/>
      <c r="M27" s="961"/>
      <c r="N27" s="960"/>
      <c r="O27" s="934"/>
      <c r="P27" s="934"/>
    </row>
    <row r="28" spans="1:21" ht="15" x14ac:dyDescent="0.25">
      <c r="A28" s="942"/>
      <c r="C28" s="949" t="s">
        <v>450</v>
      </c>
      <c r="D28" s="952"/>
      <c r="E28" s="962" t="s">
        <v>426</v>
      </c>
      <c r="F28" s="947" t="s">
        <v>449</v>
      </c>
      <c r="G28" s="952"/>
      <c r="H28" s="3" t="s">
        <v>90</v>
      </c>
      <c r="M28" s="961"/>
      <c r="N28" s="960"/>
      <c r="O28" s="926"/>
      <c r="P28" s="926"/>
      <c r="R28" s="955"/>
      <c r="S28" s="955"/>
    </row>
    <row r="29" spans="1:21" ht="15" x14ac:dyDescent="0.25">
      <c r="A29" s="942"/>
      <c r="B29" s="959"/>
      <c r="C29" s="793" t="s">
        <v>448</v>
      </c>
      <c r="D29" s="793"/>
      <c r="E29" s="958">
        <f>(ABS(F19-E20)-H29)/SQRT(F19+E20)</f>
        <v>0.57353933467640439</v>
      </c>
      <c r="F29" s="957">
        <f>2*(1-NORMSDIST(E29))</f>
        <v>0.56627957404532903</v>
      </c>
      <c r="G29" s="793"/>
      <c r="H29" s="1019">
        <f>'Test McNemar'!H27</f>
        <v>0.5</v>
      </c>
      <c r="M29" s="926"/>
      <c r="N29" s="934"/>
      <c r="O29" s="926"/>
      <c r="P29" s="926"/>
      <c r="S29" s="955"/>
    </row>
    <row r="30" spans="1:21" x14ac:dyDescent="0.2">
      <c r="A30" s="942"/>
      <c r="C30" s="952" t="s">
        <v>447</v>
      </c>
      <c r="D30" s="952"/>
      <c r="E30" s="954">
        <f>(ABS(F19-E20))/SQRT(F19+E20)</f>
        <v>0.68824720161168518</v>
      </c>
      <c r="F30" s="953">
        <f>2*(1-NORMSDIST(E30))</f>
        <v>0.491297124215893</v>
      </c>
      <c r="G30" s="952"/>
      <c r="H30" s="2"/>
      <c r="M30" s="934"/>
      <c r="N30" s="926"/>
      <c r="O30" s="950"/>
      <c r="P30" s="929"/>
      <c r="Q30" s="933"/>
      <c r="R30" s="933"/>
      <c r="S30" s="945"/>
    </row>
    <row r="31" spans="1:21" x14ac:dyDescent="0.2">
      <c r="C31" s="793"/>
      <c r="D31" s="793"/>
      <c r="E31" s="793"/>
      <c r="F31" s="793"/>
      <c r="G31" s="793"/>
      <c r="M31" s="926"/>
      <c r="N31" s="926"/>
      <c r="O31" s="926"/>
      <c r="P31" s="926"/>
      <c r="S31" s="945"/>
    </row>
    <row r="32" spans="1:21" x14ac:dyDescent="0.2">
      <c r="A32" s="1317"/>
      <c r="C32" s="926"/>
      <c r="D32" s="926"/>
      <c r="E32" s="926"/>
      <c r="F32" s="1318" t="str">
        <f>"IC( "&amp;E13*100&amp;"%)"</f>
        <v>IC( 95%)</v>
      </c>
      <c r="G32" s="1318"/>
      <c r="M32" s="926"/>
      <c r="N32" s="926"/>
      <c r="O32" s="926"/>
      <c r="P32" s="926"/>
      <c r="R32" s="933"/>
      <c r="S32" s="945"/>
    </row>
    <row r="33" spans="1:19" x14ac:dyDescent="0.2">
      <c r="A33" s="1317"/>
      <c r="C33" s="949" t="s">
        <v>446</v>
      </c>
      <c r="D33" s="947" t="s">
        <v>445</v>
      </c>
      <c r="E33" s="947" t="s">
        <v>320</v>
      </c>
      <c r="F33" s="948" t="s">
        <v>444</v>
      </c>
      <c r="G33" s="947" t="s">
        <v>85</v>
      </c>
      <c r="R33" s="945"/>
      <c r="S33" s="945"/>
    </row>
    <row r="34" spans="1:19" x14ac:dyDescent="0.2">
      <c r="C34" s="946" t="s">
        <v>266</v>
      </c>
      <c r="D34" s="696">
        <f>(F19-E20)/G21</f>
        <v>4.2857142857142858E-2</v>
      </c>
      <c r="E34" s="696">
        <f>(G13*SQRT((E26-(((F19-E20)^2)/G21)))+0.5)/G21</f>
        <v>0.12877614318928321</v>
      </c>
      <c r="F34" s="696">
        <f>D34-E34</f>
        <v>-8.5919000332140352E-2</v>
      </c>
      <c r="G34" s="696">
        <f>D34+E34</f>
        <v>0.17163328604642608</v>
      </c>
      <c r="R34" s="945"/>
      <c r="S34" s="945"/>
    </row>
    <row r="35" spans="1:19" x14ac:dyDescent="0.2">
      <c r="C35" s="1018" t="s">
        <v>443</v>
      </c>
      <c r="D35" s="696">
        <f>(F19-E20)/(G21+2)</f>
        <v>4.1666666666666664E-2</v>
      </c>
      <c r="E35" s="400">
        <f>(G13*SQRT((F19+E20+1)-(((F19-E20)^2)/(G21+2))))/(G21+2)</f>
        <v>0.12135821032151593</v>
      </c>
      <c r="F35" s="696">
        <f>D35-E35</f>
        <v>-7.9691543654849262E-2</v>
      </c>
      <c r="G35" s="696">
        <f>D35+E35</f>
        <v>0.1630248769881826</v>
      </c>
      <c r="R35" s="945"/>
      <c r="S35" s="945"/>
    </row>
    <row r="36" spans="1:19" x14ac:dyDescent="0.2">
      <c r="C36" s="929"/>
      <c r="D36" s="698"/>
      <c r="E36" s="698"/>
      <c r="F36" s="698"/>
      <c r="G36" s="698"/>
      <c r="R36" s="945"/>
      <c r="S36" s="945"/>
    </row>
    <row r="37" spans="1:19" x14ac:dyDescent="0.2">
      <c r="A37" s="942"/>
      <c r="C37" s="926"/>
      <c r="D37" s="926"/>
      <c r="E37" s="926"/>
      <c r="F37" s="926"/>
      <c r="G37" s="926"/>
      <c r="H37" s="926"/>
      <c r="I37" s="928"/>
      <c r="J37" s="934"/>
      <c r="K37" s="926"/>
      <c r="R37" s="945"/>
      <c r="S37" s="945"/>
    </row>
    <row r="38" spans="1:19" ht="13.5" thickBot="1" x14ac:dyDescent="0.25">
      <c r="A38" s="942"/>
      <c r="B38" s="502">
        <v>4</v>
      </c>
      <c r="C38" s="943" t="s">
        <v>442</v>
      </c>
      <c r="D38" s="1"/>
      <c r="E38" s="1"/>
      <c r="F38" s="1"/>
      <c r="G38" s="1"/>
      <c r="H38" s="1"/>
      <c r="I38" s="944"/>
      <c r="J38" s="943"/>
      <c r="K38" s="1"/>
    </row>
    <row r="39" spans="1:19" x14ac:dyDescent="0.2">
      <c r="A39" s="942"/>
      <c r="I39" s="933"/>
      <c r="J39" s="458"/>
    </row>
    <row r="40" spans="1:19" ht="15.75" x14ac:dyDescent="0.25">
      <c r="A40" s="942"/>
      <c r="C40" s="937" t="s">
        <v>441</v>
      </c>
      <c r="D40" s="1017">
        <f>'Test McNemar'!D39</f>
        <v>0.05</v>
      </c>
      <c r="E40" s="940" t="s">
        <v>440</v>
      </c>
      <c r="F40" s="939">
        <f>NORMSINV(1-D40/2)</f>
        <v>1.9599639845400536</v>
      </c>
      <c r="I40" s="941"/>
      <c r="J40" s="458"/>
    </row>
    <row r="41" spans="1:19" s="926" customFormat="1" ht="15.75" x14ac:dyDescent="0.25">
      <c r="A41" s="938"/>
      <c r="B41" s="925"/>
      <c r="C41" s="937" t="s">
        <v>439</v>
      </c>
      <c r="D41" s="1017">
        <f>'Test McNemar'!D40</f>
        <v>0.8</v>
      </c>
      <c r="E41" s="940" t="s">
        <v>438</v>
      </c>
      <c r="F41" s="939">
        <f>NORMSINV(1-(1-D41))</f>
        <v>0.84162123357291474</v>
      </c>
      <c r="I41" s="1319"/>
      <c r="J41" s="1319"/>
    </row>
    <row r="42" spans="1:19" s="926" customFormat="1" x14ac:dyDescent="0.2">
      <c r="A42" s="938"/>
      <c r="B42" s="925"/>
      <c r="C42" s="937" t="s">
        <v>437</v>
      </c>
      <c r="D42" s="1017">
        <f>'Test McNemar'!D41</f>
        <v>0.1</v>
      </c>
      <c r="E42" s="793"/>
      <c r="F42" s="933"/>
      <c r="I42" s="935"/>
      <c r="J42" s="934"/>
    </row>
    <row r="43" spans="1:19" s="926" customFormat="1" x14ac:dyDescent="0.2">
      <c r="B43" s="925"/>
      <c r="C43" s="933" t="s">
        <v>436</v>
      </c>
      <c r="D43" s="932" t="str">
        <f>(TRUNC(F43)+1)&amp; "  casos"</f>
        <v>783  casos</v>
      </c>
      <c r="F43" s="931">
        <f>((F40+F41*SQRT(1-D42*D42))/D42)^2</f>
        <v>782.52595521029366</v>
      </c>
    </row>
    <row r="44" spans="1:19" s="926" customFormat="1" x14ac:dyDescent="0.2">
      <c r="B44" s="925"/>
      <c r="C44" s="930"/>
      <c r="E44" s="929"/>
      <c r="F44" s="928"/>
    </row>
    <row r="45" spans="1:19" s="926" customFormat="1" ht="13.5" thickBot="1" x14ac:dyDescent="0.25">
      <c r="B45" s="582">
        <v>5</v>
      </c>
      <c r="C45" s="563" t="s">
        <v>435</v>
      </c>
      <c r="D45" s="1"/>
      <c r="E45" s="1"/>
      <c r="F45" s="1"/>
      <c r="G45" s="1"/>
      <c r="H45" s="1"/>
      <c r="I45" s="1"/>
      <c r="J45" s="1"/>
      <c r="K45" s="1"/>
    </row>
    <row r="46" spans="1:19" s="926" customFormat="1" x14ac:dyDescent="0.2">
      <c r="B46" s="925"/>
      <c r="C46" s="702" t="s">
        <v>434</v>
      </c>
      <c r="D46"/>
      <c r="E46"/>
      <c r="F46"/>
    </row>
    <row r="47" spans="1:19" s="926" customFormat="1" x14ac:dyDescent="0.2">
      <c r="C47" s="703" t="s">
        <v>433</v>
      </c>
      <c r="D47"/>
      <c r="E47"/>
      <c r="F47"/>
    </row>
    <row r="48" spans="1:19" x14ac:dyDescent="0.2">
      <c r="A48" s="926"/>
      <c r="B48" s="545" t="s">
        <v>61</v>
      </c>
      <c r="C48" s="702" t="s">
        <v>432</v>
      </c>
      <c r="F48" s="927" t="s">
        <v>425</v>
      </c>
    </row>
    <row r="49" spans="1:2" x14ac:dyDescent="0.2">
      <c r="A49" s="926"/>
      <c r="B49" s="545" t="s">
        <v>61</v>
      </c>
    </row>
    <row r="50" spans="1:2" x14ac:dyDescent="0.2">
      <c r="A50" s="926"/>
      <c r="B50" s="545" t="s">
        <v>61</v>
      </c>
    </row>
    <row r="51" spans="1:2" x14ac:dyDescent="0.2">
      <c r="A51" s="926"/>
      <c r="B51" s="925"/>
    </row>
  </sheetData>
  <sheetProtection formatCells="0"/>
  <mergeCells count="12">
    <mergeCell ref="I41:J41"/>
    <mergeCell ref="A32:A33"/>
    <mergeCell ref="D7:F7"/>
    <mergeCell ref="D8:F8"/>
    <mergeCell ref="D10:F10"/>
    <mergeCell ref="B4:E4"/>
    <mergeCell ref="Q12:R15"/>
    <mergeCell ref="F32:G32"/>
    <mergeCell ref="C17:D18"/>
    <mergeCell ref="E17:F17"/>
    <mergeCell ref="I18:K18"/>
    <mergeCell ref="C19:C20"/>
  </mergeCells>
  <hyperlinks>
    <hyperlink ref="F48" r:id="rId1" display="Resúmenes"/>
  </hyperlinks>
  <printOptions horizontalCentered="1"/>
  <pageMargins left="0.75" right="0.75" top="0.42" bottom="1" header="0" footer="0"/>
  <pageSetup paperSize="9" orientation="portrait" horizontalDpi="300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sqref="A1:C1"/>
    </sheetView>
  </sheetViews>
  <sheetFormatPr baseColWidth="10" defaultRowHeight="15" x14ac:dyDescent="0.25"/>
  <cols>
    <col min="1" max="16384" width="11.42578125" style="903"/>
  </cols>
  <sheetData>
    <row r="1" spans="1:6" x14ac:dyDescent="0.25">
      <c r="A1" s="1361" t="s">
        <v>422</v>
      </c>
      <c r="B1" s="1361"/>
      <c r="C1" s="1361"/>
    </row>
    <row r="2" spans="1:6" x14ac:dyDescent="0.25">
      <c r="B2" s="909"/>
      <c r="C2" s="909"/>
      <c r="D2" s="909"/>
    </row>
    <row r="3" spans="1:6" x14ac:dyDescent="0.25">
      <c r="B3" s="908"/>
      <c r="C3" s="908"/>
    </row>
    <row r="4" spans="1:6" x14ac:dyDescent="0.25">
      <c r="B4" s="908"/>
      <c r="C4" s="908"/>
      <c r="D4" s="908"/>
    </row>
    <row r="5" spans="1:6" ht="15.75" customHeight="1" x14ac:dyDescent="0.25">
      <c r="B5" s="1362" t="s">
        <v>573</v>
      </c>
      <c r="C5" s="1362"/>
      <c r="D5" s="1362"/>
      <c r="E5" s="1362"/>
      <c r="F5" s="1362"/>
    </row>
    <row r="6" spans="1:6" x14ac:dyDescent="0.25">
      <c r="B6" s="1363"/>
      <c r="C6" s="1363"/>
      <c r="D6" s="1363"/>
      <c r="E6" s="1363"/>
      <c r="F6" s="1363"/>
    </row>
    <row r="7" spans="1:6" x14ac:dyDescent="0.25">
      <c r="B7" s="907"/>
      <c r="C7" s="907"/>
      <c r="D7" s="907"/>
      <c r="E7" s="907"/>
      <c r="F7" s="907"/>
    </row>
    <row r="8" spans="1:6" x14ac:dyDescent="0.25">
      <c r="B8" s="905" t="s">
        <v>417</v>
      </c>
    </row>
    <row r="9" spans="1:6" x14ac:dyDescent="0.25">
      <c r="B9" s="903" t="s">
        <v>416</v>
      </c>
    </row>
    <row r="10" spans="1:6" x14ac:dyDescent="0.25">
      <c r="B10" s="904" t="s">
        <v>415</v>
      </c>
    </row>
    <row r="11" spans="1:6" x14ac:dyDescent="0.25">
      <c r="B11" s="903" t="s">
        <v>414</v>
      </c>
    </row>
    <row r="12" spans="1:6" x14ac:dyDescent="0.25">
      <c r="B12" s="903" t="s">
        <v>413</v>
      </c>
    </row>
    <row r="14" spans="1:6" x14ac:dyDescent="0.25">
      <c r="B14" s="903" t="s">
        <v>412</v>
      </c>
    </row>
    <row r="15" spans="1:6" x14ac:dyDescent="0.25">
      <c r="B15" s="903" t="s">
        <v>411</v>
      </c>
    </row>
    <row r="17" spans="2:2" x14ac:dyDescent="0.25">
      <c r="B17" s="903" t="s">
        <v>410</v>
      </c>
    </row>
    <row r="18" spans="2:2" x14ac:dyDescent="0.25">
      <c r="B18" s="903" t="s">
        <v>409</v>
      </c>
    </row>
    <row r="19" spans="2:2" x14ac:dyDescent="0.25">
      <c r="B19" s="903" t="s">
        <v>408</v>
      </c>
    </row>
    <row r="20" spans="2:2" x14ac:dyDescent="0.25">
      <c r="B20" s="903" t="s">
        <v>407</v>
      </c>
    </row>
    <row r="22" spans="2:2" x14ac:dyDescent="0.25">
      <c r="B22" s="906" t="s">
        <v>406</v>
      </c>
    </row>
    <row r="23" spans="2:2" x14ac:dyDescent="0.25">
      <c r="B23" s="903" t="s">
        <v>405</v>
      </c>
    </row>
    <row r="24" spans="2:2" x14ac:dyDescent="0.25">
      <c r="B24" s="903" t="s">
        <v>404</v>
      </c>
    </row>
    <row r="26" spans="2:2" x14ac:dyDescent="0.25">
      <c r="B26" s="906" t="s">
        <v>403</v>
      </c>
    </row>
    <row r="27" spans="2:2" x14ac:dyDescent="0.25">
      <c r="B27" s="903" t="s">
        <v>402</v>
      </c>
    </row>
    <row r="28" spans="2:2" x14ac:dyDescent="0.25">
      <c r="B28" s="903" t="s">
        <v>401</v>
      </c>
    </row>
    <row r="31" spans="2:2" x14ac:dyDescent="0.25">
      <c r="B31" s="905" t="s">
        <v>400</v>
      </c>
    </row>
    <row r="32" spans="2:2" x14ac:dyDescent="0.25">
      <c r="B32" s="904" t="s">
        <v>399</v>
      </c>
    </row>
    <row r="33" spans="2:2" x14ac:dyDescent="0.25">
      <c r="B33" s="903" t="s">
        <v>398</v>
      </c>
    </row>
    <row r="34" spans="2:2" x14ac:dyDescent="0.25">
      <c r="B34" s="903" t="s">
        <v>397</v>
      </c>
    </row>
    <row r="35" spans="2:2" x14ac:dyDescent="0.25">
      <c r="B35" s="903" t="s">
        <v>396</v>
      </c>
    </row>
  </sheetData>
  <sheetProtection algorithmName="SHA-512" hashValue="9JjvB6YNqAqKNT6E1obkiPAYXQjIdz1+FuacQCKJriH9VEQ6chMpQJyeYyCJ1PeuWF3HqhUabXnpajJM9zKn3w==" saltValue="ZzBa9xephuPaJtr22C1juw==" spinCount="100000" sheet="1" objects="1" scenarios="1"/>
  <mergeCells count="2">
    <mergeCell ref="A1:C1"/>
    <mergeCell ref="B5:F6"/>
  </mergeCells>
  <hyperlinks>
    <hyperlink ref="A1:C1" location="INICIO!A1" display="&lt;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L51"/>
  <sheetViews>
    <sheetView showGridLines="0" workbookViewId="0">
      <selection activeCell="C12" sqref="C12"/>
    </sheetView>
  </sheetViews>
  <sheetFormatPr baseColWidth="10" defaultRowHeight="12.75" x14ac:dyDescent="0.2"/>
  <cols>
    <col min="1" max="1" width="5.85546875" style="1036" customWidth="1"/>
    <col min="2" max="2" width="4.5703125" style="1036" customWidth="1"/>
    <col min="3" max="3" width="9.85546875" style="1036" customWidth="1"/>
    <col min="4" max="4" width="15.7109375" style="1036" customWidth="1"/>
    <col min="5" max="5" width="11.140625" style="1036" customWidth="1"/>
    <col min="6" max="6" width="11.42578125" style="1036"/>
    <col min="7" max="7" width="6" style="1036" customWidth="1"/>
    <col min="8" max="9" width="12.85546875" style="1036" customWidth="1"/>
    <col min="10" max="10" width="14.5703125" style="1036" customWidth="1"/>
    <col min="11" max="11" width="12.5703125" style="1036" bestFit="1" customWidth="1"/>
    <col min="12" max="13" width="11.42578125" style="1036"/>
    <col min="14" max="14" width="13" style="1036" bestFit="1" customWidth="1"/>
    <col min="15" max="19" width="11.42578125" style="1036"/>
    <col min="20" max="20" width="4.5703125" style="1099" customWidth="1"/>
    <col min="21" max="28" width="11.42578125" style="1036"/>
    <col min="29" max="29" width="11.85546875" style="1171" customWidth="1"/>
    <col min="30" max="30" width="6.5703125" style="1036" customWidth="1"/>
    <col min="31" max="33" width="11.42578125" style="1036"/>
    <col min="34" max="34" width="8.28515625" style="1036" customWidth="1"/>
    <col min="35" max="35" width="2" style="1036" customWidth="1"/>
    <col min="36" max="36" width="4" style="1036" customWidth="1"/>
    <col min="37" max="37" width="12.7109375" style="1036" customWidth="1"/>
    <col min="38" max="38" width="4" style="1036" customWidth="1"/>
    <col min="39" max="39" width="14.28515625" style="1036" customWidth="1"/>
    <col min="40" max="41" width="6" style="1036" customWidth="1"/>
    <col min="42" max="42" width="8.42578125" style="1036" customWidth="1"/>
    <col min="43" max="43" width="6.5703125" style="1036" customWidth="1"/>
    <col min="44" max="44" width="12" style="1036" customWidth="1"/>
    <col min="45" max="45" width="11" style="1036" customWidth="1"/>
    <col min="46" max="48" width="5.5703125" style="1036" customWidth="1"/>
    <col min="49" max="50" width="8.5703125" style="1036" customWidth="1"/>
    <col min="51" max="52" width="7.5703125" style="1036" customWidth="1"/>
    <col min="53" max="53" width="12.5703125" style="1036" customWidth="1"/>
    <col min="54" max="62" width="11.42578125" style="1036"/>
    <col min="63" max="63" width="0.28515625" style="1036" customWidth="1"/>
    <col min="64" max="64" width="1.28515625" style="1171" customWidth="1"/>
    <col min="65" max="16384" width="11.42578125" style="1036"/>
  </cols>
  <sheetData>
    <row r="1" spans="2:64" s="1158" customFormat="1" ht="15.75" x14ac:dyDescent="0.25">
      <c r="B1" s="1157"/>
      <c r="K1" s="1159" t="s">
        <v>64</v>
      </c>
      <c r="L1" s="1160" t="s">
        <v>66</v>
      </c>
      <c r="N1" s="1161" t="s">
        <v>65</v>
      </c>
      <c r="T1" s="1162"/>
      <c r="BL1" s="1163"/>
    </row>
    <row r="2" spans="2:64" s="1158" customFormat="1" ht="15.75" x14ac:dyDescent="0.25">
      <c r="B2" s="1157"/>
      <c r="C2" s="1157"/>
      <c r="D2" s="1157"/>
      <c r="E2" s="1157"/>
      <c r="F2" s="1157"/>
      <c r="G2" s="1157"/>
      <c r="H2" s="1157"/>
      <c r="I2" s="1157"/>
      <c r="J2" s="1157"/>
      <c r="L2" s="1160" t="s">
        <v>63</v>
      </c>
      <c r="N2" s="1161" t="s">
        <v>65</v>
      </c>
      <c r="T2" s="1162"/>
      <c r="BL2" s="1163"/>
    </row>
    <row r="3" spans="2:64" s="1158" customFormat="1" ht="15.75" x14ac:dyDescent="0.25">
      <c r="B3" s="1157" t="s">
        <v>477</v>
      </c>
      <c r="C3" s="1157"/>
      <c r="D3" s="1157"/>
      <c r="E3" s="1157"/>
      <c r="F3" s="1157"/>
      <c r="G3" s="1157"/>
      <c r="H3" s="1157"/>
      <c r="I3" s="1157"/>
      <c r="J3" s="1157"/>
      <c r="L3" s="1160" t="s">
        <v>67</v>
      </c>
      <c r="M3" s="1160"/>
      <c r="T3" s="1162"/>
      <c r="BL3" s="1163"/>
    </row>
    <row r="4" spans="2:64" s="1158" customFormat="1" ht="15.75" x14ac:dyDescent="0.25">
      <c r="C4" s="1157"/>
      <c r="D4" s="1157"/>
      <c r="E4" s="1157"/>
      <c r="F4" s="1157"/>
      <c r="G4" s="1157"/>
      <c r="H4" s="1157"/>
      <c r="I4" s="1157"/>
      <c r="J4" s="1157"/>
      <c r="K4" s="1164"/>
      <c r="L4" s="1160"/>
      <c r="M4" s="1160"/>
      <c r="T4" s="1162"/>
      <c r="BL4" s="1163"/>
    </row>
    <row r="5" spans="2:64" s="1046" customFormat="1" ht="12.75" customHeight="1" x14ac:dyDescent="0.2">
      <c r="C5" s="1047" t="s">
        <v>478</v>
      </c>
      <c r="D5" s="1048">
        <v>40946</v>
      </c>
      <c r="E5" s="1047"/>
      <c r="T5" s="1151"/>
      <c r="AC5" s="1158"/>
      <c r="BL5" s="1163"/>
    </row>
    <row r="6" spans="2:64" ht="13.5" thickBot="1" x14ac:dyDescent="0.25">
      <c r="U6" s="1036" t="s">
        <v>479</v>
      </c>
      <c r="AC6" s="1165" t="s">
        <v>480</v>
      </c>
      <c r="BL6" s="1166"/>
    </row>
    <row r="7" spans="2:64" ht="13.5" thickBot="1" x14ac:dyDescent="0.25">
      <c r="B7" s="1096">
        <v>1</v>
      </c>
      <c r="C7" s="1053" t="s">
        <v>58</v>
      </c>
      <c r="D7" s="1114" t="s">
        <v>481</v>
      </c>
      <c r="E7" s="1054"/>
      <c r="F7" s="1054"/>
      <c r="G7" s="1054"/>
      <c r="H7" s="1054"/>
      <c r="I7" s="1054"/>
      <c r="J7" s="1054"/>
      <c r="K7" s="1054"/>
      <c r="M7" s="1167">
        <f t="shared" ref="M7:N9" si="0">I9</f>
        <v>10</v>
      </c>
      <c r="N7" s="1168">
        <f t="shared" si="0"/>
        <v>3</v>
      </c>
      <c r="O7" s="1169">
        <f>L9</f>
        <v>13</v>
      </c>
      <c r="Q7" s="1167">
        <f t="shared" ref="Q7:S9" si="1">E10</f>
        <v>10</v>
      </c>
      <c r="R7" s="1168">
        <f t="shared" si="1"/>
        <v>3</v>
      </c>
      <c r="S7" s="1169">
        <f t="shared" si="1"/>
        <v>13</v>
      </c>
      <c r="T7" s="1167"/>
      <c r="U7" s="1167">
        <f>Q7+0.5</f>
        <v>10.5</v>
      </c>
      <c r="V7" s="1167">
        <f>R7+0.5</f>
        <v>3.5</v>
      </c>
      <c r="W7" s="1169">
        <f>SUM(U7:V7)</f>
        <v>14</v>
      </c>
      <c r="X7" s="1169"/>
      <c r="Z7" s="1170" t="s">
        <v>482</v>
      </c>
      <c r="AS7" s="1172"/>
      <c r="AT7" s="1173"/>
      <c r="AU7" s="1173"/>
      <c r="AV7" s="1174"/>
      <c r="AW7" s="1175"/>
      <c r="AX7" s="1099"/>
      <c r="BA7" s="1176" t="s">
        <v>483</v>
      </c>
      <c r="BB7" s="1173"/>
      <c r="BC7" s="1173"/>
      <c r="BD7" s="1173"/>
      <c r="BE7" s="1173"/>
      <c r="BF7" s="1173"/>
      <c r="BG7" s="1173"/>
      <c r="BH7" s="1174"/>
      <c r="BK7" s="1364" t="s">
        <v>484</v>
      </c>
    </row>
    <row r="8" spans="2:64" ht="13.5" thickBot="1" x14ac:dyDescent="0.25">
      <c r="C8" s="1062"/>
      <c r="I8" s="1177" t="s">
        <v>485</v>
      </c>
      <c r="M8" s="1178">
        <f t="shared" si="0"/>
        <v>4</v>
      </c>
      <c r="N8" s="1179">
        <f t="shared" si="0"/>
        <v>12</v>
      </c>
      <c r="O8" s="1180">
        <f>L10</f>
        <v>16</v>
      </c>
      <c r="Q8" s="1178">
        <f t="shared" si="1"/>
        <v>4</v>
      </c>
      <c r="R8" s="1179">
        <f t="shared" si="1"/>
        <v>12</v>
      </c>
      <c r="S8" s="1180">
        <f t="shared" si="1"/>
        <v>16</v>
      </c>
      <c r="T8" s="1167"/>
      <c r="U8" s="1167">
        <f>Q8+0.5</f>
        <v>4.5</v>
      </c>
      <c r="V8" s="1167">
        <f>R8+0.5</f>
        <v>12.5</v>
      </c>
      <c r="W8" s="1169">
        <f t="shared" ref="W8:W9" si="2">SUM(U8:V8)</f>
        <v>17</v>
      </c>
      <c r="X8" s="1167"/>
      <c r="Z8" s="1181" t="s">
        <v>111</v>
      </c>
      <c r="AA8" s="1036">
        <v>1</v>
      </c>
      <c r="AS8" s="1182"/>
      <c r="AT8" s="1099"/>
      <c r="AU8" s="1099"/>
      <c r="AV8" s="1183"/>
      <c r="AW8" s="1184"/>
      <c r="AX8" s="1099"/>
      <c r="BA8" s="1176"/>
      <c r="BB8" s="1173"/>
      <c r="BC8" s="1173"/>
      <c r="BD8" s="1173"/>
      <c r="BE8" s="1173"/>
      <c r="BF8" s="1173"/>
      <c r="BG8" s="1173"/>
      <c r="BH8" s="1174"/>
      <c r="BK8" s="1364"/>
    </row>
    <row r="9" spans="2:64" s="1067" customFormat="1" ht="13.5" thickBot="1" x14ac:dyDescent="0.25">
      <c r="C9" s="1068"/>
      <c r="D9" s="1036"/>
      <c r="E9" s="1067" t="s">
        <v>486</v>
      </c>
      <c r="F9" s="1067" t="s">
        <v>487</v>
      </c>
      <c r="G9" s="1036"/>
      <c r="H9" s="1036"/>
      <c r="I9" s="1099">
        <f t="shared" ref="I9:J11" si="3">AE10</f>
        <v>10</v>
      </c>
      <c r="J9" s="1185">
        <f t="shared" si="3"/>
        <v>3</v>
      </c>
      <c r="L9" s="1068">
        <f>AG10</f>
        <v>13</v>
      </c>
      <c r="M9" s="1186">
        <f t="shared" si="0"/>
        <v>14</v>
      </c>
      <c r="N9" s="1187">
        <f t="shared" si="0"/>
        <v>15</v>
      </c>
      <c r="O9" s="1186">
        <f>L11</f>
        <v>29</v>
      </c>
      <c r="Q9" s="1186">
        <f t="shared" si="1"/>
        <v>14</v>
      </c>
      <c r="R9" s="1187">
        <f t="shared" si="1"/>
        <v>15</v>
      </c>
      <c r="S9" s="1186">
        <f t="shared" si="1"/>
        <v>29</v>
      </c>
      <c r="T9" s="1167"/>
      <c r="U9" s="1186">
        <f>SUM(U7:U8)</f>
        <v>15</v>
      </c>
      <c r="V9" s="1186">
        <f t="shared" ref="V9" si="4">SUM(V7:V8)</f>
        <v>16</v>
      </c>
      <c r="W9" s="1169">
        <f t="shared" si="2"/>
        <v>31</v>
      </c>
      <c r="X9" s="1167"/>
      <c r="Y9" s="1036"/>
      <c r="Z9" s="1181" t="s">
        <v>112</v>
      </c>
      <c r="AA9" s="1036">
        <v>2</v>
      </c>
      <c r="AB9" s="1036"/>
      <c r="AC9" s="1171"/>
      <c r="AD9" s="1188" t="s">
        <v>485</v>
      </c>
      <c r="AE9" s="1128" t="str">
        <f>E9</f>
        <v>C1</v>
      </c>
      <c r="AF9" s="1128" t="str">
        <f>F9</f>
        <v>C2</v>
      </c>
      <c r="AG9" s="1128"/>
      <c r="AH9" s="1128"/>
      <c r="AI9" s="1067" t="s">
        <v>488</v>
      </c>
      <c r="AJ9" s="1067" t="s">
        <v>243</v>
      </c>
      <c r="AK9" s="1067" t="s">
        <v>489</v>
      </c>
      <c r="AL9" s="1067" t="s">
        <v>490</v>
      </c>
      <c r="AM9" s="1067" t="s">
        <v>491</v>
      </c>
      <c r="AN9" s="1067" t="s">
        <v>492</v>
      </c>
      <c r="AO9" s="1067" t="s">
        <v>493</v>
      </c>
      <c r="AP9" s="1067" t="s">
        <v>494</v>
      </c>
      <c r="AQ9" s="1189" t="s">
        <v>495</v>
      </c>
      <c r="AR9" s="1189" t="s">
        <v>496</v>
      </c>
      <c r="AS9" s="1190" t="s">
        <v>497</v>
      </c>
      <c r="AT9" s="1191" t="s">
        <v>498</v>
      </c>
      <c r="AU9" s="1191" t="s">
        <v>499</v>
      </c>
      <c r="AV9" s="1192" t="s">
        <v>500</v>
      </c>
      <c r="AW9" s="1193" t="s">
        <v>501</v>
      </c>
      <c r="AX9" s="1191" t="s">
        <v>502</v>
      </c>
      <c r="AY9" s="1067" t="s">
        <v>503</v>
      </c>
      <c r="AZ9" s="1067" t="s">
        <v>504</v>
      </c>
      <c r="BA9" s="1194" t="s">
        <v>505</v>
      </c>
      <c r="BB9" s="1195" t="s">
        <v>506</v>
      </c>
      <c r="BC9" s="1195" t="s">
        <v>507</v>
      </c>
      <c r="BD9" s="1195" t="s">
        <v>508</v>
      </c>
      <c r="BE9" s="1195" t="s">
        <v>509</v>
      </c>
      <c r="BF9" s="1195" t="s">
        <v>510</v>
      </c>
      <c r="BG9" s="1195" t="s">
        <v>511</v>
      </c>
      <c r="BH9" s="1196" t="s">
        <v>512</v>
      </c>
      <c r="BI9" s="1067" t="s">
        <v>513</v>
      </c>
      <c r="BJ9" s="1189" t="s">
        <v>514</v>
      </c>
      <c r="BK9" s="1364"/>
      <c r="BL9" s="1197"/>
    </row>
    <row r="10" spans="2:64" x14ac:dyDescent="0.2">
      <c r="C10" s="1068"/>
      <c r="D10" s="1067" t="s">
        <v>515</v>
      </c>
      <c r="E10" s="1198">
        <f>'Acuerdo nominal (2x2)'!E8</f>
        <v>10</v>
      </c>
      <c r="F10" s="1198">
        <f>'Acuerdo nominal (2x2)'!F8</f>
        <v>3</v>
      </c>
      <c r="G10" s="1082">
        <f>F10+E10</f>
        <v>13</v>
      </c>
      <c r="I10" s="1199">
        <f t="shared" si="3"/>
        <v>4</v>
      </c>
      <c r="J10" s="1200">
        <f t="shared" si="3"/>
        <v>12</v>
      </c>
      <c r="L10" s="1068">
        <f>AG11</f>
        <v>16</v>
      </c>
      <c r="M10" s="1201">
        <f>M7/O9</f>
        <v>0.34482758620689657</v>
      </c>
      <c r="N10" s="1202">
        <f>N7/O9</f>
        <v>0.10344827586206896</v>
      </c>
      <c r="O10" s="1203">
        <f>O7/O9</f>
        <v>0.44827586206896552</v>
      </c>
      <c r="Q10" s="1201">
        <f>Q7/S9</f>
        <v>0.34482758620689657</v>
      </c>
      <c r="R10" s="1202">
        <f>R7/S9</f>
        <v>0.10344827586206896</v>
      </c>
      <c r="S10" s="1203">
        <f>S7/S9</f>
        <v>0.44827586206896552</v>
      </c>
      <c r="T10" s="1201"/>
      <c r="U10" s="1201">
        <f>U7/W9</f>
        <v>0.33870967741935482</v>
      </c>
      <c r="V10" s="1202">
        <f>V7/W9</f>
        <v>0.11290322580645161</v>
      </c>
      <c r="W10" s="1203">
        <f>W7/W9</f>
        <v>0.45161290322580644</v>
      </c>
      <c r="X10" s="1203"/>
      <c r="AD10" s="1128" t="str">
        <f>D10</f>
        <v>R1</v>
      </c>
      <c r="AE10" s="1036">
        <f>E10+$E$19</f>
        <v>10</v>
      </c>
      <c r="AF10" s="1036">
        <f>F10+$E$19</f>
        <v>3</v>
      </c>
      <c r="AG10" s="1036">
        <f>SUM(AE10:AF10)</f>
        <v>13</v>
      </c>
      <c r="AI10" s="1036">
        <v>1</v>
      </c>
      <c r="AJ10" s="1036">
        <f>$AG$12</f>
        <v>29</v>
      </c>
      <c r="AK10" s="1036">
        <f>AE10</f>
        <v>10</v>
      </c>
      <c r="AL10" s="1036">
        <f>AE12</f>
        <v>14</v>
      </c>
      <c r="AM10" s="1036">
        <f>AG10</f>
        <v>13</v>
      </c>
      <c r="AN10" s="1036">
        <f>AL10*AL11</f>
        <v>210</v>
      </c>
      <c r="AO10" s="1036">
        <f>AM10*AM11</f>
        <v>208</v>
      </c>
      <c r="AP10" s="1036">
        <f>AF10+AE11</f>
        <v>7</v>
      </c>
      <c r="AQ10" s="1036">
        <f>AF10*AE11</f>
        <v>12</v>
      </c>
      <c r="AR10" s="1036">
        <f>SQRT(AQ10)</f>
        <v>3.4641016151377544</v>
      </c>
      <c r="AS10" s="1204">
        <f>(AK10-AR10)/AM10</f>
        <v>0.50276141422017273</v>
      </c>
      <c r="AT10" s="1205">
        <f>(AK10-AR10)/AL10</f>
        <v>0.46684988463301752</v>
      </c>
      <c r="AU10" s="1205">
        <f>(AK10-AR10)/$AG$12</f>
        <v>0.2253758063745602</v>
      </c>
      <c r="AV10" s="1206">
        <f>2*(AK10-AR10)/(AL10+AM10)</f>
        <v>0.48414062110090711</v>
      </c>
      <c r="AW10" s="1207">
        <f>((AM10*AS10)+(AM11*AS11))/$AG$12</f>
        <v>0.51971712999049979</v>
      </c>
      <c r="AX10" s="1205">
        <f>1-AW10</f>
        <v>0.48028287000950021</v>
      </c>
      <c r="AY10" s="1208">
        <f>1-AS10</f>
        <v>0.49723858577982727</v>
      </c>
      <c r="AZ10" s="1208">
        <f>1-AT10</f>
        <v>0.53315011536698242</v>
      </c>
      <c r="BA10" s="1209">
        <f>(AK10*AY10+0.25*AP10)/(AM10^2)</f>
        <v>3.9777431111232379E-2</v>
      </c>
      <c r="BB10" s="1210">
        <f>(AK10*AY10+0.25*(AP10-(AJ10/AO10)*AQ10))/(AM10^2)</f>
        <v>3.7302465248692553E-2</v>
      </c>
      <c r="BC10" s="1099">
        <f>(AK10*AZ10+0.25*(AP10-(AJ10/AN10)*AQ10))/(AL10^2)</f>
        <v>3.4016405302980154E-2</v>
      </c>
      <c r="BD10" s="1099">
        <f>(AK10+0.25*AP10-AJ10*AU10^2)/(AJ10^2)</f>
        <v>1.2219936541176559E-2</v>
      </c>
      <c r="BE10" s="1099">
        <f>(AK10*AY10+0.25*(AP10-(AJ10/AO10)*AQ10))/(AJ10^2)</f>
        <v>7.4959769643627126E-3</v>
      </c>
      <c r="BF10" s="1099">
        <f>BJ10*(2-BK10)</f>
        <v>3.5656557159072573E-2</v>
      </c>
      <c r="BG10" s="1099">
        <f>AX10*(1+AW10)/AJ10</f>
        <v>2.5168762234290959E-2</v>
      </c>
      <c r="BH10" s="1183">
        <f>(AX10/AJ10)*((AK10/AM10)+(AK11/AM11))</f>
        <v>2.5160707381134295E-2</v>
      </c>
      <c r="BI10" s="1036">
        <f>(AM10+AL10)^2</f>
        <v>729</v>
      </c>
      <c r="BJ10" s="1036">
        <f>AJ10*AX10/BI10</f>
        <v>1.9105902922188622E-2</v>
      </c>
      <c r="BK10" s="1036">
        <f>BJ10*AP10</f>
        <v>0.13374132045532036</v>
      </c>
    </row>
    <row r="11" spans="2:64" x14ac:dyDescent="0.2">
      <c r="C11" s="1068"/>
      <c r="D11" s="1067" t="s">
        <v>516</v>
      </c>
      <c r="E11" s="1198">
        <f>'Acuerdo nominal (2x2)'!E9</f>
        <v>4</v>
      </c>
      <c r="F11" s="1198">
        <f>'Acuerdo nominal (2x2)'!F9</f>
        <v>12</v>
      </c>
      <c r="G11" s="1082">
        <f>F11+E11</f>
        <v>16</v>
      </c>
      <c r="I11" s="1036">
        <f t="shared" si="3"/>
        <v>14</v>
      </c>
      <c r="J11" s="1036">
        <f t="shared" si="3"/>
        <v>15</v>
      </c>
      <c r="L11" s="1068">
        <f>AG12</f>
        <v>29</v>
      </c>
      <c r="M11" s="1211">
        <f>M8/O9</f>
        <v>0.13793103448275862</v>
      </c>
      <c r="N11" s="1212">
        <f>N8/O9</f>
        <v>0.41379310344827586</v>
      </c>
      <c r="O11" s="1213">
        <f>O8/O9</f>
        <v>0.55172413793103448</v>
      </c>
      <c r="Q11" s="1211">
        <f>Q8/S9</f>
        <v>0.13793103448275862</v>
      </c>
      <c r="R11" s="1212">
        <f>R8/S9</f>
        <v>0.41379310344827586</v>
      </c>
      <c r="S11" s="1213">
        <f>S8/S9</f>
        <v>0.55172413793103448</v>
      </c>
      <c r="T11" s="1201"/>
      <c r="U11" s="1211">
        <f>U8/W9</f>
        <v>0.14516129032258066</v>
      </c>
      <c r="V11" s="1212">
        <f>V8/W9</f>
        <v>0.40322580645161288</v>
      </c>
      <c r="W11" s="1213">
        <f>W8/W9</f>
        <v>0.54838709677419351</v>
      </c>
      <c r="X11" s="1201"/>
      <c r="Z11" s="1170" t="s">
        <v>517</v>
      </c>
      <c r="AD11" s="1128" t="str">
        <f>D11</f>
        <v>R2</v>
      </c>
      <c r="AE11" s="1036">
        <f>E11+$E$19</f>
        <v>4</v>
      </c>
      <c r="AF11" s="1036">
        <f>F11+$E$19</f>
        <v>12</v>
      </c>
      <c r="AG11" s="1036">
        <f>SUM(AE11:AF11)</f>
        <v>16</v>
      </c>
      <c r="AI11" s="1036">
        <v>2</v>
      </c>
      <c r="AJ11" s="1036">
        <f>AJ10</f>
        <v>29</v>
      </c>
      <c r="AK11" s="1036">
        <f>AF11</f>
        <v>12</v>
      </c>
      <c r="AL11" s="1036">
        <f>AF12</f>
        <v>15</v>
      </c>
      <c r="AM11" s="1036">
        <f>AG11</f>
        <v>16</v>
      </c>
      <c r="AN11" s="1036">
        <f>AN10</f>
        <v>210</v>
      </c>
      <c r="AO11" s="1036">
        <f>AO10</f>
        <v>208</v>
      </c>
      <c r="AP11" s="1036">
        <f>AP10</f>
        <v>7</v>
      </c>
      <c r="AQ11" s="1036">
        <f>AQ10</f>
        <v>12</v>
      </c>
      <c r="AR11" s="1036">
        <f>AR10</f>
        <v>3.4641016151377544</v>
      </c>
      <c r="AS11" s="1204">
        <f>(AK11-AR11)/AM11</f>
        <v>0.53349364905389041</v>
      </c>
      <c r="AT11" s="1205">
        <f>(AK11-AR11)/AL11</f>
        <v>0.56905989232414977</v>
      </c>
      <c r="AU11" s="1205">
        <f>(AK11-AR11)/$AG$12</f>
        <v>0.29434132361593951</v>
      </c>
      <c r="AV11" s="1206">
        <f>2*(AK11-AR11)/(AL11+AM11)</f>
        <v>0.55070312160401591</v>
      </c>
      <c r="AW11" s="1207">
        <f>AW10</f>
        <v>0.51971712999049979</v>
      </c>
      <c r="AX11" s="1205">
        <f>AX10</f>
        <v>0.48028287000950021</v>
      </c>
      <c r="AY11" s="1208">
        <f>1-AS11</f>
        <v>0.46650635094610959</v>
      </c>
      <c r="AZ11" s="1208">
        <f>1-AT11</f>
        <v>0.43094010767585023</v>
      </c>
      <c r="BA11" s="1209">
        <f>(AK11*AY11+0.25*AP11)/(AM11^2)</f>
        <v>2.8703422700598887E-2</v>
      </c>
      <c r="BB11" s="1210">
        <f>(AK11*AY11+0.25*(AP11-(AJ11/AO11)*AQ11))/(AM11^2)</f>
        <v>2.7069558517906579E-2</v>
      </c>
      <c r="BC11" s="1099">
        <f>(AK11*AZ11+0.25*(AP11-(AJ11/AN11)*AQ11))/(AL11^2)</f>
        <v>2.8919980345886616E-2</v>
      </c>
      <c r="BD11" s="1099">
        <f>(AK11+0.25*AP11-AJ11*AU11^2)/(AJ11^2)</f>
        <v>1.3362107456775846E-2</v>
      </c>
      <c r="BE11" s="1099">
        <f>(AK11*AY11+0.25*(AP11-(AJ11/AO11)*AQ11))/(AJ11^2)</f>
        <v>8.2399607379121092E-3</v>
      </c>
      <c r="BF11" s="1099">
        <f>BJ11*(2-BK11)</f>
        <v>2.7516475198747534E-2</v>
      </c>
      <c r="BG11" s="1099">
        <f>AX11*(1+AW11)/AJ11</f>
        <v>2.5168762234290959E-2</v>
      </c>
      <c r="BH11" s="1183">
        <f>BH10</f>
        <v>2.5160707381134295E-2</v>
      </c>
      <c r="BI11" s="1036">
        <f>(AM11+AL11)^2</f>
        <v>961</v>
      </c>
      <c r="BJ11" s="1036">
        <f>AJ11*AX11/BI11</f>
        <v>1.4493447690193034E-2</v>
      </c>
      <c r="BK11" s="1036">
        <f>BJ11*AP11</f>
        <v>0.10145413383135124</v>
      </c>
    </row>
    <row r="12" spans="2:64" ht="13.5" thickBot="1" x14ac:dyDescent="0.25">
      <c r="C12" s="1068"/>
      <c r="E12" s="1036">
        <f>E11+E10</f>
        <v>14</v>
      </c>
      <c r="F12" s="1036">
        <f>F11+F10</f>
        <v>15</v>
      </c>
      <c r="G12" s="1082">
        <f>G11+G10</f>
        <v>29</v>
      </c>
      <c r="M12" s="1214">
        <f>M9/O9</f>
        <v>0.48275862068965519</v>
      </c>
      <c r="N12" s="1215">
        <f>N9/O9</f>
        <v>0.51724137931034486</v>
      </c>
      <c r="O12" s="1214">
        <f>O9/O9</f>
        <v>1</v>
      </c>
      <c r="Q12" s="1214">
        <f>Q9/S9</f>
        <v>0.48275862068965519</v>
      </c>
      <c r="R12" s="1215">
        <f>R9/S9</f>
        <v>0.51724137931034486</v>
      </c>
      <c r="S12" s="1214">
        <f>S9/S9</f>
        <v>1</v>
      </c>
      <c r="T12" s="1201"/>
      <c r="U12" s="1214">
        <f>U9/W9</f>
        <v>0.4838709677419355</v>
      </c>
      <c r="V12" s="1215">
        <f>V9/W9</f>
        <v>0.5161290322580645</v>
      </c>
      <c r="W12" s="1214">
        <f>W9/W9</f>
        <v>1</v>
      </c>
      <c r="X12" s="1201"/>
      <c r="Z12" s="1181" t="s">
        <v>472</v>
      </c>
      <c r="AA12" s="1036">
        <v>1</v>
      </c>
      <c r="AE12" s="1036">
        <f>SUM(AE10:AE11)</f>
        <v>14</v>
      </c>
      <c r="AF12" s="1036">
        <f>SUM(AF10:AF11)</f>
        <v>15</v>
      </c>
      <c r="AG12" s="1036">
        <f>SUM(AG10:AG11)</f>
        <v>29</v>
      </c>
      <c r="AS12" s="1216"/>
      <c r="AT12" s="1054"/>
      <c r="AU12" s="1054"/>
      <c r="AV12" s="1217"/>
      <c r="AW12" s="1218"/>
      <c r="AX12" s="1099"/>
      <c r="BA12" s="1216"/>
      <c r="BB12" s="1054"/>
      <c r="BC12" s="1054"/>
      <c r="BD12" s="1054"/>
      <c r="BE12" s="1054"/>
      <c r="BF12" s="1054"/>
      <c r="BG12" s="1054"/>
      <c r="BH12" s="1217"/>
      <c r="BI12" s="1099"/>
    </row>
    <row r="13" spans="2:64" x14ac:dyDescent="0.2">
      <c r="C13" s="1068"/>
      <c r="D13" s="1096" t="s">
        <v>518</v>
      </c>
      <c r="E13" s="1096" t="str">
        <f>IF(G13=0,"Marginal=0 (2.0)",IF(G13=1,"Diagonal (2.1)",IF(G13=2,"Normal (2.2)","Trivial")))</f>
        <v>Normal (2.2)</v>
      </c>
      <c r="G13" s="1098">
        <f>IF(OR(E12=0,F12=0,G10=0,G11=0),0,IF(AND(F10=0,E11=0),1,2))</f>
        <v>2</v>
      </c>
      <c r="I13" s="1219" t="s">
        <v>519</v>
      </c>
      <c r="J13" s="1220">
        <f>K13</f>
        <v>0.51551312649164682</v>
      </c>
      <c r="K13" s="1221">
        <f>2*(M7*N8-N7*M8)/(O7*N9+O8*M9)</f>
        <v>0.51551312649164682</v>
      </c>
      <c r="M13" s="1222" t="s">
        <v>520</v>
      </c>
      <c r="N13" s="1223">
        <f>M10*(1-(O10+M12)*N16)^2</f>
        <v>0.10390336868863148</v>
      </c>
      <c r="O13" s="1223">
        <f>N11*(1-(O11+N12)*N16)^2</f>
        <v>9.6174057980436697E-2</v>
      </c>
      <c r="Q13" s="1222" t="s">
        <v>520</v>
      </c>
      <c r="R13" s="1223">
        <f>Q10*(1-(S10+Q12)*R16)^2</f>
        <v>0.10390336868863148</v>
      </c>
      <c r="S13" s="1223">
        <f>R11*(1-(S11+R12)*R16)^2</f>
        <v>9.6174057980436697E-2</v>
      </c>
      <c r="T13" s="1224"/>
      <c r="U13" s="1222" t="s">
        <v>520</v>
      </c>
      <c r="V13" s="1223">
        <f>U10*(1-(W10+U12)*V16)^2</f>
        <v>9.006384521370378E-2</v>
      </c>
      <c r="W13" s="1223">
        <f>V11*(1-(W11+V12)*V16)^2</f>
        <v>8.1237062701199014E-2</v>
      </c>
      <c r="X13" s="1223"/>
      <c r="Z13" s="1181" t="s">
        <v>209</v>
      </c>
      <c r="AA13" s="1036">
        <v>0</v>
      </c>
      <c r="AS13" s="1099"/>
      <c r="AT13" s="1099"/>
      <c r="AU13" s="1099"/>
      <c r="AV13" s="1099"/>
      <c r="AW13" s="1099"/>
      <c r="AX13" s="1099"/>
      <c r="BA13" s="1099"/>
      <c r="BB13" s="1099"/>
      <c r="BC13" s="1099"/>
      <c r="BD13" s="1099"/>
      <c r="BE13" s="1099"/>
      <c r="BF13" s="1099"/>
      <c r="BG13" s="1099"/>
      <c r="BH13" s="1099"/>
      <c r="BI13" s="1099"/>
    </row>
    <row r="14" spans="2:64" ht="13.5" thickBot="1" x14ac:dyDescent="0.25">
      <c r="C14" s="1068"/>
      <c r="D14" s="1096" t="str">
        <f>"Kappa (SE"&amp;F15&amp;")="</f>
        <v>Kappa (SE)=</v>
      </c>
      <c r="E14" s="1225">
        <f>R24</f>
        <v>0.51551312649164682</v>
      </c>
      <c r="F14" s="1225">
        <f>IF(E15,V25,R25)</f>
        <v>0.15902543198590346</v>
      </c>
      <c r="G14" s="1097" t="str">
        <f>IF(E15,U26,"")</f>
        <v/>
      </c>
      <c r="I14" s="1128" t="s">
        <v>521</v>
      </c>
      <c r="J14" s="1220">
        <f>N28</f>
        <v>0.15902543198590346</v>
      </c>
      <c r="M14" s="1226" t="s">
        <v>522</v>
      </c>
      <c r="N14" s="1227">
        <f>N10*(M12+O11)^2</f>
        <v>0.1107056459879454</v>
      </c>
      <c r="O14" s="1227">
        <f>M11*(O10+N12)^2</f>
        <v>0.12858255771044325</v>
      </c>
      <c r="Q14" s="1226" t="s">
        <v>522</v>
      </c>
      <c r="R14" s="1227">
        <f>R10*(Q12+S11)^2</f>
        <v>0.1107056459879454</v>
      </c>
      <c r="S14" s="1227">
        <f>Q11*(S10+R12)^2</f>
        <v>0.12858255771044325</v>
      </c>
      <c r="T14" s="1228"/>
      <c r="U14" s="1226" t="s">
        <v>522</v>
      </c>
      <c r="V14" s="1227">
        <f>V10*(U12+W11)^2</f>
        <v>0.12030479003725955</v>
      </c>
      <c r="W14" s="1227">
        <f>U11*(W10+V12)^2</f>
        <v>0.13594709811688097</v>
      </c>
      <c r="X14" s="1228"/>
      <c r="AE14" s="1097"/>
      <c r="AF14" s="1097" t="s">
        <v>523</v>
      </c>
      <c r="AH14" s="1036">
        <f>SQRT(AF10)+SQRT(AE11)</f>
        <v>3.7320508075688772</v>
      </c>
      <c r="AS14" s="1099"/>
      <c r="AT14" s="1099"/>
      <c r="AU14" s="1099"/>
      <c r="AV14" s="1099"/>
      <c r="AW14" s="1099"/>
      <c r="AX14" s="1099"/>
      <c r="BA14" s="1099"/>
      <c r="BB14" s="1099"/>
      <c r="BC14" s="1099"/>
      <c r="BD14" s="1099"/>
      <c r="BE14" s="1099"/>
      <c r="BF14" s="1099"/>
      <c r="BG14" s="1099"/>
      <c r="BH14" s="1099"/>
      <c r="BI14" s="1099"/>
    </row>
    <row r="15" spans="2:64" x14ac:dyDescent="0.2">
      <c r="C15" s="1068"/>
      <c r="D15" s="1128" t="s">
        <v>524</v>
      </c>
      <c r="E15" s="1068">
        <f>IF(F10+E11=0,1,0)</f>
        <v>0</v>
      </c>
      <c r="F15" s="1036" t="str">
        <f>IF(E15,"*","")</f>
        <v/>
      </c>
      <c r="G15" s="1098"/>
      <c r="M15" s="1203" t="s">
        <v>525</v>
      </c>
      <c r="N15" s="1203">
        <f>((O7*M9)+(O8*N9))/N21</f>
        <v>0.50178359096313907</v>
      </c>
      <c r="O15" s="1203"/>
      <c r="Q15" s="1203" t="s">
        <v>525</v>
      </c>
      <c r="R15" s="1203">
        <f>((S7*Q9)+(S8*R9))/R21</f>
        <v>0.50178359096313907</v>
      </c>
      <c r="S15" s="1203"/>
      <c r="T15" s="1201"/>
      <c r="U15" s="1203" t="s">
        <v>525</v>
      </c>
      <c r="V15" s="1203">
        <f>((W7*U9)+(W8*V9))/V21</f>
        <v>0.50156087408949013</v>
      </c>
      <c r="W15" s="1203"/>
      <c r="X15" s="1203"/>
      <c r="Z15" s="1170" t="s">
        <v>526</v>
      </c>
      <c r="AF15" s="1036">
        <f>SQRT(AE11)/AH14</f>
        <v>0.53589838486224539</v>
      </c>
      <c r="AS15" s="1099"/>
      <c r="AT15" s="1099"/>
      <c r="AU15" s="1099"/>
      <c r="AV15" s="1099"/>
      <c r="AW15" s="1099"/>
      <c r="AX15" s="1099"/>
      <c r="BA15" s="1099"/>
      <c r="BB15" s="1099"/>
      <c r="BC15" s="1099"/>
      <c r="BD15" s="1099"/>
      <c r="BE15" s="1099"/>
      <c r="BF15" s="1099"/>
      <c r="BG15" s="1099"/>
      <c r="BH15" s="1099"/>
      <c r="BI15" s="1099"/>
    </row>
    <row r="16" spans="2:64" ht="13.5" thickBot="1" x14ac:dyDescent="0.25">
      <c r="B16" s="1096">
        <v>2</v>
      </c>
      <c r="C16" s="1053" t="s">
        <v>527</v>
      </c>
      <c r="D16" s="1054"/>
      <c r="E16" s="1054"/>
      <c r="F16" s="1054"/>
      <c r="G16" s="1054"/>
      <c r="H16" s="1054"/>
      <c r="I16" s="1054"/>
      <c r="J16" s="1054"/>
      <c r="K16" s="1054"/>
      <c r="M16" s="1203" t="s">
        <v>528</v>
      </c>
      <c r="N16" s="1229">
        <f>1-K13</f>
        <v>0.48448687350835318</v>
      </c>
      <c r="O16" s="1203"/>
      <c r="Q16" s="1203" t="s">
        <v>528</v>
      </c>
      <c r="R16" s="1229">
        <f>1-R24</f>
        <v>0.48448687350835318</v>
      </c>
      <c r="S16" s="1203"/>
      <c r="T16" s="1201"/>
      <c r="U16" s="1203" t="s">
        <v>528</v>
      </c>
      <c r="V16" s="1229">
        <f>1-V24</f>
        <v>0.51774530271398755</v>
      </c>
      <c r="W16" s="1203"/>
      <c r="X16" s="1203"/>
      <c r="Z16" s="1036">
        <v>0</v>
      </c>
      <c r="AF16" s="1036">
        <f>SQRT(AF10)/AH14</f>
        <v>0.46410161513775455</v>
      </c>
      <c r="AK16" s="1128"/>
      <c r="AL16" s="1128"/>
      <c r="AM16" s="1128"/>
      <c r="BA16" s="1099"/>
      <c r="BB16" s="1099"/>
      <c r="BC16" s="1099"/>
      <c r="BD16" s="1099"/>
      <c r="BE16" s="1099"/>
      <c r="BF16" s="1099"/>
      <c r="BG16" s="1099"/>
      <c r="BH16" s="1099"/>
      <c r="BI16" s="1099"/>
    </row>
    <row r="17" spans="2:61" x14ac:dyDescent="0.2">
      <c r="C17" s="1068"/>
      <c r="D17" s="1062" t="s">
        <v>529</v>
      </c>
      <c r="E17" s="1230">
        <f>G17</f>
        <v>2</v>
      </c>
      <c r="F17" s="1096" t="str">
        <f>IF(E17=1,"&lt; Tipo I",IF(E17=2,"&lt; Tipo II","&lt; ERROR"))</f>
        <v>&lt; Tipo II</v>
      </c>
      <c r="G17" s="1231">
        <f>IF('Acuerdo nominal (2x2)'!E15='!'!Z8,'!'!AA8,'!'!AA9)</f>
        <v>2</v>
      </c>
      <c r="I17" s="1232" t="s">
        <v>530</v>
      </c>
      <c r="M17" s="1203" t="s">
        <v>531</v>
      </c>
      <c r="N17" s="1203">
        <f>N16^2</f>
        <v>0.23472753060189902</v>
      </c>
      <c r="O17" s="1203"/>
      <c r="Q17" s="1203" t="s">
        <v>531</v>
      </c>
      <c r="R17" s="1203">
        <f>R16^2</f>
        <v>0.23472753060189902</v>
      </c>
      <c r="S17" s="1203"/>
      <c r="T17" s="1201"/>
      <c r="U17" s="1203" t="s">
        <v>531</v>
      </c>
      <c r="V17" s="1203">
        <f>V16^2</f>
        <v>0.26806019848239859</v>
      </c>
      <c r="W17" s="1203"/>
      <c r="X17" s="1203"/>
      <c r="Z17" s="1036">
        <v>0.5</v>
      </c>
      <c r="AK17" s="1128"/>
      <c r="AL17" s="1128"/>
      <c r="AM17" s="1128"/>
      <c r="BA17" s="1099"/>
      <c r="BB17" s="1099"/>
      <c r="BC17" s="1099"/>
      <c r="BD17" s="1099"/>
      <c r="BE17" s="1099"/>
      <c r="BF17" s="1099"/>
      <c r="BG17" s="1099"/>
      <c r="BH17" s="1099"/>
      <c r="BI17" s="1099"/>
    </row>
    <row r="18" spans="2:61" x14ac:dyDescent="0.2">
      <c r="C18" s="1068"/>
      <c r="D18" s="1062" t="s">
        <v>532</v>
      </c>
      <c r="E18" s="1230">
        <f>G18</f>
        <v>1</v>
      </c>
      <c r="F18" s="1096" t="str">
        <f>IF(E18=1,"&lt;Sí",IF(E18=0,"&lt; NO","&lt; ERROR"))</f>
        <v>&lt;Sí</v>
      </c>
      <c r="G18" s="1233">
        <f>IF('Acuerdo nominal (2x2)'!E16='!'!Z12,'!'!AA12,0)</f>
        <v>1</v>
      </c>
      <c r="I18" s="1230">
        <f>K18</f>
        <v>1</v>
      </c>
      <c r="J18" s="1097" t="str">
        <f>IF(I18=1,"&lt; Sí",IF(I18=0,"&lt; NO","&lt; ERROR"))</f>
        <v>&lt; Sí</v>
      </c>
      <c r="K18" s="1233">
        <f>IF('Acuerdo nominal (2x2)'!I16='!'!Z21,1,0)</f>
        <v>1</v>
      </c>
      <c r="M18" s="1203" t="s">
        <v>520</v>
      </c>
      <c r="N18" s="1203">
        <f>N13+O13</f>
        <v>0.20007742666906819</v>
      </c>
      <c r="O18" s="1203"/>
      <c r="Q18" s="1203" t="s">
        <v>520</v>
      </c>
      <c r="R18" s="1203">
        <f>R13+S13</f>
        <v>0.20007742666906819</v>
      </c>
      <c r="S18" s="1203"/>
      <c r="T18" s="1201"/>
      <c r="U18" s="1203" t="s">
        <v>520</v>
      </c>
      <c r="V18" s="1203">
        <f>V13+W13</f>
        <v>0.17130090791490279</v>
      </c>
      <c r="W18" s="1203"/>
      <c r="X18" s="1203"/>
      <c r="Z18" s="1036">
        <v>1</v>
      </c>
      <c r="AK18" s="1128"/>
      <c r="AL18" s="1128"/>
      <c r="AM18" s="1128"/>
      <c r="BA18" s="1099"/>
      <c r="BB18" s="1099"/>
      <c r="BC18" s="1099"/>
      <c r="BD18" s="1099"/>
      <c r="BE18" s="1099"/>
      <c r="BF18" s="1099"/>
      <c r="BG18" s="1099"/>
      <c r="BH18" s="1099"/>
      <c r="BI18" s="1099"/>
    </row>
    <row r="19" spans="2:61" x14ac:dyDescent="0.2">
      <c r="C19" s="1068"/>
      <c r="D19" s="1062" t="s">
        <v>533</v>
      </c>
      <c r="E19" s="1230">
        <f>G19</f>
        <v>0</v>
      </c>
      <c r="F19" s="1108" t="str">
        <f>IF(AND(E19=0,G13&lt;&gt;1),"&lt; Normal",IF(E19=1,"&lt; Extra",IF(AND(E19=0.5,G13=1),"&lt; Normal (type 2.1)","&lt; TEST (this is not a standard problem)")))</f>
        <v>&lt; Normal</v>
      </c>
      <c r="G19" s="1233">
        <f>IF('Acuerdo nominal (2x2)'!E17='!'!Z16,0,IF('Acuerdo nominal (2x2)'!E17='!'!Z17,0.5,1))</f>
        <v>0</v>
      </c>
      <c r="I19" s="1109" t="str">
        <f>IF(I18=1,"Las medidas validas están destacadas ","Las medidas válidas no están destacadas ")</f>
        <v xml:space="preserve">Las medidas validas están destacadas </v>
      </c>
      <c r="M19" s="1203" t="s">
        <v>522</v>
      </c>
      <c r="N19" s="1203">
        <f>N17*(N14+O14)</f>
        <v>5.616752915628697E-2</v>
      </c>
      <c r="O19" s="1203"/>
      <c r="P19" s="1067"/>
      <c r="Q19" s="1203" t="s">
        <v>522</v>
      </c>
      <c r="R19" s="1203">
        <f>R17*(R14+S14)</f>
        <v>5.616752915628697E-2</v>
      </c>
      <c r="S19" s="1203"/>
      <c r="T19" s="1201"/>
      <c r="U19" s="1203" t="s">
        <v>522</v>
      </c>
      <c r="V19" s="1203">
        <f>V17*(V14+W14)</f>
        <v>6.8690932000088314E-2</v>
      </c>
      <c r="W19" s="1203"/>
      <c r="X19" s="1203"/>
      <c r="AK19" s="1128"/>
      <c r="AL19" s="1128"/>
      <c r="AM19" s="1128"/>
      <c r="BA19" s="1099"/>
      <c r="BB19" s="1099"/>
      <c r="BC19" s="1099"/>
      <c r="BD19" s="1099"/>
      <c r="BE19" s="1099"/>
      <c r="BF19" s="1099"/>
      <c r="BG19" s="1099"/>
      <c r="BH19" s="1099"/>
      <c r="BI19" s="1099"/>
    </row>
    <row r="20" spans="2:61" x14ac:dyDescent="0.2">
      <c r="C20" s="1068"/>
      <c r="I20" s="1110" t="s">
        <v>534</v>
      </c>
      <c r="J20" s="1097"/>
      <c r="M20" s="1203" t="s">
        <v>535</v>
      </c>
      <c r="N20" s="1203">
        <f>(K13-N15*N16)^2</f>
        <v>7.4204790932111089E-2</v>
      </c>
      <c r="O20" s="1203"/>
      <c r="Q20" s="1203" t="s">
        <v>535</v>
      </c>
      <c r="R20" s="1203">
        <f>(R24-R15*R16)^2</f>
        <v>7.4204790932111089E-2</v>
      </c>
      <c r="S20" s="1203"/>
      <c r="T20" s="1201"/>
      <c r="U20" s="1203" t="s">
        <v>535</v>
      </c>
      <c r="V20" s="1203">
        <f>(V24-V15*V16)^2</f>
        <v>4.9539145724762208E-2</v>
      </c>
      <c r="W20" s="1203"/>
      <c r="X20" s="1203"/>
      <c r="Z20" s="1096" t="s">
        <v>536</v>
      </c>
      <c r="AK20" s="1128"/>
      <c r="AL20" s="1128"/>
      <c r="AM20" s="1128"/>
      <c r="BA20" s="1099"/>
      <c r="BB20" s="1099"/>
      <c r="BC20" s="1099"/>
      <c r="BD20" s="1099"/>
      <c r="BE20" s="1099"/>
      <c r="BF20" s="1099"/>
      <c r="BG20" s="1099"/>
      <c r="BH20" s="1099"/>
      <c r="BI20" s="1099"/>
    </row>
    <row r="21" spans="2:61" x14ac:dyDescent="0.2">
      <c r="C21" s="1068"/>
      <c r="I21" s="1110" t="s">
        <v>537</v>
      </c>
      <c r="J21" s="1097"/>
      <c r="M21" s="1203" t="s">
        <v>538</v>
      </c>
      <c r="N21" s="1203">
        <f>O9^2</f>
        <v>841</v>
      </c>
      <c r="O21" s="1203"/>
      <c r="Q21" s="1203" t="s">
        <v>538</v>
      </c>
      <c r="R21" s="1203">
        <f>S9^2</f>
        <v>841</v>
      </c>
      <c r="S21" s="1203"/>
      <c r="T21" s="1201"/>
      <c r="U21" s="1203" t="s">
        <v>538</v>
      </c>
      <c r="V21" s="1203">
        <f>W9^2</f>
        <v>961</v>
      </c>
      <c r="W21" s="1203"/>
      <c r="X21" s="1203"/>
      <c r="Z21" s="1097" t="s">
        <v>472</v>
      </c>
      <c r="AA21" s="1036">
        <v>1</v>
      </c>
      <c r="AK21" s="1128"/>
      <c r="AL21" s="1128"/>
      <c r="AM21" s="1128"/>
      <c r="BA21" s="1099"/>
      <c r="BB21" s="1099"/>
      <c r="BC21" s="1099"/>
      <c r="BD21" s="1099"/>
      <c r="BE21" s="1099"/>
      <c r="BF21" s="1099"/>
      <c r="BG21" s="1099"/>
      <c r="BH21" s="1099"/>
      <c r="BI21" s="1099"/>
    </row>
    <row r="22" spans="2:61" ht="13.5" thickBot="1" x14ac:dyDescent="0.25">
      <c r="D22" s="1234" t="s">
        <v>539</v>
      </c>
      <c r="E22" s="1234" t="s">
        <v>498</v>
      </c>
      <c r="I22" s="1036" t="s">
        <v>540</v>
      </c>
      <c r="M22" s="1235" t="s">
        <v>541</v>
      </c>
      <c r="N22" s="1235">
        <f>(N18+N19-N20)/(O9*(1-N15)^2)</f>
        <v>2.5289088018303207E-2</v>
      </c>
      <c r="O22" s="1203"/>
      <c r="Q22" s="1235" t="s">
        <v>541</v>
      </c>
      <c r="R22" s="1235">
        <f>(R18+R19-R20)/(S9*(1-R15)^2)</f>
        <v>2.5289088018303207E-2</v>
      </c>
      <c r="S22" s="1203"/>
      <c r="T22" s="1201"/>
      <c r="U22" s="1235" t="s">
        <v>541</v>
      </c>
      <c r="V22" s="1235">
        <f>(V18+V19-V20)/(W9*(1-V15)^2)</f>
        <v>2.4728693706099217E-2</v>
      </c>
      <c r="W22" s="1203"/>
      <c r="X22" s="1203"/>
      <c r="Z22" s="1097" t="s">
        <v>209</v>
      </c>
      <c r="AA22" s="1036">
        <v>0</v>
      </c>
      <c r="AD22" s="1036" t="s">
        <v>542</v>
      </c>
      <c r="AM22" s="1236"/>
    </row>
    <row r="23" spans="2:61" x14ac:dyDescent="0.2">
      <c r="B23" s="1096"/>
      <c r="C23" s="1237">
        <v>1</v>
      </c>
      <c r="D23" s="1220">
        <f>AS10</f>
        <v>0.50276141422017273</v>
      </c>
      <c r="E23" s="1220">
        <f>IF(E15,"∞",AT10)</f>
        <v>0.46684988463301752</v>
      </c>
      <c r="F23" s="1099"/>
      <c r="G23" s="1099"/>
      <c r="H23" s="1099"/>
      <c r="I23" s="1099"/>
      <c r="J23" s="1099"/>
      <c r="K23" s="1099"/>
      <c r="M23" s="1201"/>
      <c r="N23" s="1201"/>
      <c r="O23" s="1203"/>
      <c r="Q23" s="1201"/>
      <c r="R23" s="1201"/>
      <c r="S23" s="1203"/>
      <c r="T23" s="1201"/>
      <c r="U23" s="1201"/>
      <c r="V23" s="1201"/>
      <c r="W23" s="1203"/>
      <c r="X23" s="1203"/>
      <c r="Z23" s="1097"/>
      <c r="AM23" s="1236"/>
    </row>
    <row r="24" spans="2:61" x14ac:dyDescent="0.2">
      <c r="B24" s="1096"/>
      <c r="C24" s="1237">
        <v>2</v>
      </c>
      <c r="D24" s="1220">
        <f>AS11</f>
        <v>0.53349364905389041</v>
      </c>
      <c r="E24" s="1220">
        <f>IF(E15,"∞",AT11)</f>
        <v>0.56905989232414977</v>
      </c>
      <c r="F24" s="1099"/>
      <c r="G24" s="1099"/>
      <c r="H24" s="1099"/>
      <c r="I24" s="1099"/>
      <c r="J24" s="1099"/>
      <c r="K24" s="1099"/>
      <c r="M24" s="1238" t="s">
        <v>543</v>
      </c>
      <c r="N24" s="1201"/>
      <c r="O24" s="1203"/>
      <c r="Q24" s="1201" t="s">
        <v>544</v>
      </c>
      <c r="R24" s="1221">
        <f>2*(Q7*R8-R7*Q8)/(S7*R9+S8*Q9)</f>
        <v>0.51551312649164682</v>
      </c>
      <c r="S24" s="1203"/>
      <c r="T24" s="1201"/>
      <c r="U24" s="1201" t="s">
        <v>544</v>
      </c>
      <c r="V24" s="1221">
        <f>2*(U7*V8-V7*U8)/(W7*V9+W8*U9)</f>
        <v>0.4822546972860125</v>
      </c>
      <c r="W24" s="1203"/>
      <c r="X24" s="1203"/>
      <c r="Z24" s="1097"/>
      <c r="AM24" s="1236"/>
    </row>
    <row r="25" spans="2:61" x14ac:dyDescent="0.2">
      <c r="B25" s="1096"/>
      <c r="C25" s="1237"/>
      <c r="D25" s="1099"/>
      <c r="E25" s="1099"/>
      <c r="F25" s="1099"/>
      <c r="G25" s="1099"/>
      <c r="H25" s="1099"/>
      <c r="I25" s="1099"/>
      <c r="J25" s="1099"/>
      <c r="K25" s="1099"/>
      <c r="M25" s="1201"/>
      <c r="N25" s="1201"/>
      <c r="O25" s="1203"/>
      <c r="Q25" s="1201" t="s">
        <v>545</v>
      </c>
      <c r="R25" s="1203">
        <f>SQRT(R22)</f>
        <v>0.15902543198590346</v>
      </c>
      <c r="S25" s="1203"/>
      <c r="T25" s="1201"/>
      <c r="U25" s="1201" t="s">
        <v>546</v>
      </c>
      <c r="V25" s="1203">
        <f>SQRT(V22)</f>
        <v>0.15725359679860812</v>
      </c>
      <c r="W25" s="1203"/>
      <c r="X25" s="1203"/>
      <c r="Z25" s="1097"/>
      <c r="AM25" s="1236"/>
    </row>
    <row r="26" spans="2:61" ht="13.5" thickBot="1" x14ac:dyDescent="0.25">
      <c r="B26" s="1096">
        <v>3</v>
      </c>
      <c r="C26" s="1053" t="s">
        <v>547</v>
      </c>
      <c r="D26" s="1054"/>
      <c r="E26" s="1054"/>
      <c r="F26" s="1054"/>
      <c r="G26" s="1054"/>
      <c r="H26" s="1054"/>
      <c r="I26" s="1054"/>
      <c r="J26" s="1054"/>
      <c r="K26" s="1054"/>
      <c r="M26" s="1201"/>
      <c r="N26" s="1201"/>
      <c r="O26" s="1203"/>
      <c r="Q26" s="1201"/>
      <c r="R26" s="1201"/>
      <c r="S26" s="1203"/>
      <c r="T26" s="1201"/>
      <c r="U26" s="1203" t="s">
        <v>548</v>
      </c>
      <c r="V26" s="1203"/>
      <c r="W26" s="1203"/>
      <c r="X26" s="1203"/>
      <c r="Z26" s="1097"/>
      <c r="AM26" s="1236"/>
    </row>
    <row r="27" spans="2:61" ht="15.75" customHeight="1" x14ac:dyDescent="0.2">
      <c r="C27" s="1128"/>
      <c r="D27" s="1129" t="s">
        <v>549</v>
      </c>
      <c r="E27" s="1129" t="s">
        <v>207</v>
      </c>
      <c r="F27" s="1129" t="s">
        <v>550</v>
      </c>
      <c r="G27" s="1129" t="s">
        <v>473</v>
      </c>
      <c r="H27" s="1067" t="s">
        <v>446</v>
      </c>
      <c r="I27" s="1067" t="s">
        <v>551</v>
      </c>
      <c r="J27" s="1067" t="s">
        <v>552</v>
      </c>
      <c r="M27" s="1203"/>
      <c r="O27" s="1203"/>
      <c r="Q27" s="1203"/>
      <c r="S27" s="1203"/>
      <c r="T27" s="1201"/>
      <c r="U27" s="1203"/>
      <c r="V27" s="1203"/>
      <c r="W27" s="1203"/>
      <c r="X27" s="1203"/>
      <c r="AE27" s="1067" t="s">
        <v>553</v>
      </c>
      <c r="AF27" s="1067" t="s">
        <v>550</v>
      </c>
      <c r="AG27" s="1067" t="s">
        <v>554</v>
      </c>
      <c r="AH27" s="1097"/>
      <c r="AM27" s="1236"/>
    </row>
    <row r="28" spans="2:61" ht="3.75" customHeight="1" thickBot="1" x14ac:dyDescent="0.25">
      <c r="E28" s="1082"/>
      <c r="G28" s="1082"/>
      <c r="M28" s="1203"/>
      <c r="N28" s="1239">
        <f>SQRT(N22)</f>
        <v>0.15902543198590346</v>
      </c>
      <c r="O28" s="1203"/>
      <c r="Q28" s="1203"/>
      <c r="S28" s="1203"/>
      <c r="T28" s="1201"/>
      <c r="U28" s="1203"/>
      <c r="V28" s="1203"/>
      <c r="W28" s="1203"/>
      <c r="X28" s="1203"/>
      <c r="AE28" s="1097"/>
      <c r="AF28" s="1097"/>
      <c r="AG28" s="1097"/>
      <c r="AH28" s="1097"/>
    </row>
    <row r="29" spans="2:61" ht="12.75" customHeight="1" x14ac:dyDescent="0.2">
      <c r="D29" s="1351" t="s">
        <v>555</v>
      </c>
      <c r="E29" s="1341" t="s">
        <v>532</v>
      </c>
      <c r="F29" s="1339" t="s">
        <v>556</v>
      </c>
      <c r="G29" s="1130">
        <v>1</v>
      </c>
      <c r="H29" s="1240">
        <f>AS10</f>
        <v>0.50276141422017273</v>
      </c>
      <c r="I29" s="1240">
        <f>BA10</f>
        <v>3.9777431111232379E-2</v>
      </c>
      <c r="J29" s="1241">
        <f>SQRT(I29)</f>
        <v>0.19944280160294675</v>
      </c>
      <c r="K29" s="1036" t="str">
        <f>IF(AH29,"&lt;","")</f>
        <v/>
      </c>
      <c r="AE29" s="1242">
        <f>AF29*AG29*$I$18</f>
        <v>0</v>
      </c>
      <c r="AF29" s="1097">
        <f>IF($E$17=1,1,0)</f>
        <v>0</v>
      </c>
      <c r="AG29" s="1097">
        <f>IF($E$18=1,1,0)</f>
        <v>1</v>
      </c>
      <c r="AH29" s="1097">
        <f>AF29*AG29*(1-$I$18)</f>
        <v>0</v>
      </c>
      <c r="AM29" s="1236"/>
    </row>
    <row r="30" spans="2:61" x14ac:dyDescent="0.2">
      <c r="D30" s="1352"/>
      <c r="E30" s="1345"/>
      <c r="F30" s="1346"/>
      <c r="G30" s="1134">
        <v>2</v>
      </c>
      <c r="H30" s="1243">
        <f>AS11</f>
        <v>0.53349364905389041</v>
      </c>
      <c r="I30" s="1243">
        <f>BA11</f>
        <v>2.8703422700598887E-2</v>
      </c>
      <c r="J30" s="1244">
        <f>SQRT(I30)</f>
        <v>0.16942084494122583</v>
      </c>
      <c r="K30" s="1036" t="str">
        <f t="shared" ref="K30:K46" si="5">IF(AH30,"&lt;","")</f>
        <v/>
      </c>
      <c r="AE30" s="1242">
        <f>AF30*AG30*$I$18</f>
        <v>0</v>
      </c>
      <c r="AF30" s="1097">
        <f>IF($E$17=1,1,0)</f>
        <v>0</v>
      </c>
      <c r="AG30" s="1097">
        <f>IF($E$18=1,1,0)</f>
        <v>1</v>
      </c>
      <c r="AH30" s="1097">
        <f t="shared" ref="AH30:AH46" si="6">AF30*AG30*(1-$I$18)</f>
        <v>0</v>
      </c>
      <c r="AM30" s="1236"/>
    </row>
    <row r="31" spans="2:61" x14ac:dyDescent="0.2">
      <c r="D31" s="1352"/>
      <c r="E31" s="1345"/>
      <c r="F31" s="1346" t="s">
        <v>557</v>
      </c>
      <c r="G31" s="1134">
        <v>1</v>
      </c>
      <c r="H31" s="1245">
        <f>AS10</f>
        <v>0.50276141422017273</v>
      </c>
      <c r="I31" s="1243">
        <f>BB10</f>
        <v>3.7302465248692553E-2</v>
      </c>
      <c r="J31" s="1244">
        <f>SQRT(I31)</f>
        <v>0.1931384613397667</v>
      </c>
      <c r="K31" s="1036" t="str">
        <f t="shared" si="5"/>
        <v/>
      </c>
      <c r="O31" s="1067"/>
      <c r="AE31" s="1242">
        <f>AF31*AG31*$I$18</f>
        <v>1</v>
      </c>
      <c r="AF31" s="1097">
        <f>IF($E$17=1,0,1)</f>
        <v>1</v>
      </c>
      <c r="AG31" s="1097">
        <f>IF($E$18=1,1,0)</f>
        <v>1</v>
      </c>
      <c r="AH31" s="1097">
        <f t="shared" si="6"/>
        <v>0</v>
      </c>
    </row>
    <row r="32" spans="2:61" ht="13.5" thickBot="1" x14ac:dyDescent="0.25">
      <c r="D32" s="1353"/>
      <c r="E32" s="1342"/>
      <c r="F32" s="1340"/>
      <c r="G32" s="1139">
        <v>2</v>
      </c>
      <c r="H32" s="1246">
        <f>AS11</f>
        <v>0.53349364905389041</v>
      </c>
      <c r="I32" s="1247">
        <f>BB11</f>
        <v>2.7069558517906579E-2</v>
      </c>
      <c r="J32" s="1248">
        <f>SQRT(I32)</f>
        <v>0.16452829093474039</v>
      </c>
      <c r="K32" s="1036" t="str">
        <f t="shared" si="5"/>
        <v/>
      </c>
      <c r="AE32" s="1242">
        <f>AF32*AG32*$I$18</f>
        <v>1</v>
      </c>
      <c r="AF32" s="1097">
        <f>IF($E$17=1,0,1)</f>
        <v>1</v>
      </c>
      <c r="AG32" s="1097">
        <f>IF($E$18=1,1,0)</f>
        <v>1</v>
      </c>
      <c r="AH32" s="1097">
        <f t="shared" si="6"/>
        <v>0</v>
      </c>
    </row>
    <row r="33" spans="3:34" ht="3.75" customHeight="1" thickBot="1" x14ac:dyDescent="0.25">
      <c r="D33" s="1099"/>
      <c r="E33" s="1143"/>
      <c r="F33" s="1099"/>
      <c r="G33" s="1144"/>
      <c r="H33" s="1249"/>
      <c r="I33" s="1249"/>
      <c r="J33" s="1249"/>
      <c r="K33" s="1036" t="str">
        <f t="shared" si="5"/>
        <v/>
      </c>
      <c r="AE33" s="1242"/>
      <c r="AF33" s="1097"/>
      <c r="AG33" s="1097"/>
      <c r="AH33" s="1097">
        <f t="shared" si="6"/>
        <v>0</v>
      </c>
    </row>
    <row r="34" spans="3:34" ht="12.75" customHeight="1" x14ac:dyDescent="0.2">
      <c r="D34" s="1335" t="s">
        <v>558</v>
      </c>
      <c r="E34" s="1341" t="str">
        <f>E29</f>
        <v>R es un estándar</v>
      </c>
      <c r="F34" s="1339" t="s">
        <v>556</v>
      </c>
      <c r="G34" s="1130">
        <v>1</v>
      </c>
      <c r="H34" s="1240">
        <f>AT10</f>
        <v>0.46684988463301752</v>
      </c>
      <c r="I34" s="1240">
        <f>BC10</f>
        <v>3.4016405302980154E-2</v>
      </c>
      <c r="J34" s="1241">
        <f>SQRT(I34)</f>
        <v>0.18443536890461154</v>
      </c>
      <c r="K34" s="1036" t="str">
        <f t="shared" si="5"/>
        <v/>
      </c>
      <c r="AE34" s="1242">
        <f>AF34*AG34*$I$18</f>
        <v>0</v>
      </c>
      <c r="AF34" s="1097">
        <f>IF($E$17=1,1,0)</f>
        <v>0</v>
      </c>
      <c r="AG34" s="1097">
        <f>IF($E$18=1,1,0)</f>
        <v>1</v>
      </c>
      <c r="AH34" s="1097">
        <f t="shared" si="6"/>
        <v>0</v>
      </c>
    </row>
    <row r="35" spans="3:34" ht="13.5" thickBot="1" x14ac:dyDescent="0.25">
      <c r="D35" s="1336"/>
      <c r="E35" s="1342"/>
      <c r="F35" s="1340"/>
      <c r="G35" s="1139">
        <v>2</v>
      </c>
      <c r="H35" s="1247">
        <f>AT11</f>
        <v>0.56905989232414977</v>
      </c>
      <c r="I35" s="1247">
        <f>BC11</f>
        <v>2.8919980345886616E-2</v>
      </c>
      <c r="J35" s="1248">
        <f>SQRT(I35)</f>
        <v>0.17005875556961664</v>
      </c>
      <c r="K35" s="1036" t="str">
        <f t="shared" si="5"/>
        <v/>
      </c>
      <c r="O35" s="1068"/>
      <c r="AE35" s="1242">
        <f>AF35*AG35*$I$18</f>
        <v>0</v>
      </c>
      <c r="AF35" s="1097">
        <f>IF($E$17=1,1,0)</f>
        <v>0</v>
      </c>
      <c r="AG35" s="1097">
        <f>IF($E$18=1,1,0)</f>
        <v>1</v>
      </c>
      <c r="AH35" s="1097">
        <f t="shared" si="6"/>
        <v>0</v>
      </c>
    </row>
    <row r="36" spans="3:34" ht="4.5" customHeight="1" thickBot="1" x14ac:dyDescent="0.25">
      <c r="D36" s="1099"/>
      <c r="E36" s="1143"/>
      <c r="F36" s="1099"/>
      <c r="G36" s="1146"/>
      <c r="H36" s="1249"/>
      <c r="I36" s="1249"/>
      <c r="J36" s="1249"/>
      <c r="K36" s="1036" t="str">
        <f t="shared" si="5"/>
        <v/>
      </c>
      <c r="O36" s="1068"/>
      <c r="AE36" s="1242"/>
      <c r="AF36" s="1097"/>
      <c r="AG36" s="1097"/>
      <c r="AH36" s="1097">
        <f t="shared" si="6"/>
        <v>0</v>
      </c>
    </row>
    <row r="37" spans="3:34" ht="12.75" customHeight="1" x14ac:dyDescent="0.2">
      <c r="D37" s="1335" t="s">
        <v>559</v>
      </c>
      <c r="E37" s="1341" t="s">
        <v>560</v>
      </c>
      <c r="F37" s="1339" t="s">
        <v>556</v>
      </c>
      <c r="G37" s="1130">
        <v>1</v>
      </c>
      <c r="H37" s="1240">
        <f>AU10</f>
        <v>0.2253758063745602</v>
      </c>
      <c r="I37" s="1240">
        <f>BD10</f>
        <v>1.2219936541176559E-2</v>
      </c>
      <c r="J37" s="1241">
        <f>SQRT(I37)</f>
        <v>0.1105438218136887</v>
      </c>
      <c r="K37" s="1036" t="str">
        <f t="shared" si="5"/>
        <v/>
      </c>
      <c r="O37" s="1068"/>
      <c r="AE37" s="1242">
        <f>AF37*AG37*$I$18</f>
        <v>0</v>
      </c>
      <c r="AF37" s="1097">
        <f>IF($E$17=1,1,0)</f>
        <v>0</v>
      </c>
      <c r="AG37" s="1097">
        <v>1</v>
      </c>
      <c r="AH37" s="1097">
        <f t="shared" si="6"/>
        <v>0</v>
      </c>
    </row>
    <row r="38" spans="3:34" x14ac:dyDescent="0.2">
      <c r="D38" s="1343"/>
      <c r="E38" s="1345"/>
      <c r="F38" s="1346"/>
      <c r="G38" s="1134">
        <v>2</v>
      </c>
      <c r="H38" s="1243">
        <f>AU11</f>
        <v>0.29434132361593951</v>
      </c>
      <c r="I38" s="1243">
        <f>BD11</f>
        <v>1.3362107456775846E-2</v>
      </c>
      <c r="J38" s="1244">
        <f>SQRT(I38)</f>
        <v>0.11559458229854826</v>
      </c>
      <c r="K38" s="1036" t="str">
        <f t="shared" si="5"/>
        <v/>
      </c>
      <c r="AE38" s="1242">
        <f>AF38*AG38*$I$18</f>
        <v>0</v>
      </c>
      <c r="AF38" s="1097">
        <f>IF($E$17=1,1,0)</f>
        <v>0</v>
      </c>
      <c r="AG38" s="1097">
        <v>1</v>
      </c>
      <c r="AH38" s="1097">
        <f t="shared" si="6"/>
        <v>0</v>
      </c>
    </row>
    <row r="39" spans="3:34" x14ac:dyDescent="0.2">
      <c r="D39" s="1343"/>
      <c r="E39" s="1345"/>
      <c r="F39" s="1346" t="s">
        <v>557</v>
      </c>
      <c r="G39" s="1134">
        <v>1</v>
      </c>
      <c r="H39" s="1243">
        <f>AU10</f>
        <v>0.2253758063745602</v>
      </c>
      <c r="I39" s="1243">
        <f>BE10</f>
        <v>7.4959769643627126E-3</v>
      </c>
      <c r="J39" s="1244">
        <f>SQRT(I39)</f>
        <v>8.6579310255757477E-2</v>
      </c>
      <c r="K39" s="1036" t="str">
        <f t="shared" si="5"/>
        <v/>
      </c>
      <c r="AE39" s="1242">
        <f>AF39*AG39*$I$18</f>
        <v>1</v>
      </c>
      <c r="AF39" s="1097">
        <f>IF($E$17=1,0,1)</f>
        <v>1</v>
      </c>
      <c r="AG39" s="1097">
        <v>1</v>
      </c>
      <c r="AH39" s="1097">
        <f t="shared" si="6"/>
        <v>0</v>
      </c>
    </row>
    <row r="40" spans="3:34" ht="13.5" thickBot="1" x14ac:dyDescent="0.25">
      <c r="D40" s="1344"/>
      <c r="E40" s="1342"/>
      <c r="F40" s="1340"/>
      <c r="G40" s="1139">
        <v>2</v>
      </c>
      <c r="H40" s="1247">
        <f>AU11</f>
        <v>0.29434132361593951</v>
      </c>
      <c r="I40" s="1247">
        <f>BE11</f>
        <v>8.2399607379121092E-3</v>
      </c>
      <c r="J40" s="1248">
        <f>SQRT(I40)</f>
        <v>9.0774229481236077E-2</v>
      </c>
      <c r="K40" s="1036" t="str">
        <f t="shared" si="5"/>
        <v/>
      </c>
      <c r="AE40" s="1242">
        <f>AF40*AG40*$I$18</f>
        <v>1</v>
      </c>
      <c r="AF40" s="1097">
        <f>IF($E$17=1,0,1)</f>
        <v>1</v>
      </c>
      <c r="AG40" s="1097">
        <v>1</v>
      </c>
      <c r="AH40" s="1097">
        <f t="shared" si="6"/>
        <v>0</v>
      </c>
    </row>
    <row r="41" spans="3:34" ht="4.5" customHeight="1" thickBot="1" x14ac:dyDescent="0.25">
      <c r="D41" s="1099"/>
      <c r="E41" s="1099"/>
      <c r="F41" s="1099"/>
      <c r="G41" s="1146"/>
      <c r="H41" s="1249"/>
      <c r="I41" s="1249"/>
      <c r="J41" s="1249"/>
      <c r="K41" s="1036" t="str">
        <f t="shared" si="5"/>
        <v/>
      </c>
      <c r="AE41" s="1242"/>
      <c r="AF41" s="1097"/>
      <c r="AG41" s="1097"/>
      <c r="AH41" s="1097">
        <f t="shared" si="6"/>
        <v>0</v>
      </c>
    </row>
    <row r="42" spans="3:34" ht="12.75" customHeight="1" x14ac:dyDescent="0.2">
      <c r="D42" s="1335" t="s">
        <v>561</v>
      </c>
      <c r="E42" s="1337" t="s">
        <v>562</v>
      </c>
      <c r="F42" s="1339" t="s">
        <v>556</v>
      </c>
      <c r="G42" s="1130">
        <v>1</v>
      </c>
      <c r="H42" s="1240">
        <f>AV10</f>
        <v>0.48414062110090711</v>
      </c>
      <c r="I42" s="1240">
        <f>BF10</f>
        <v>3.5656557159072573E-2</v>
      </c>
      <c r="J42" s="1241">
        <f>SQRT(I42)</f>
        <v>0.18882943933368168</v>
      </c>
      <c r="K42" s="1036" t="str">
        <f t="shared" si="5"/>
        <v/>
      </c>
      <c r="AE42" s="1242">
        <f>AF42*AG42*$I$18</f>
        <v>0</v>
      </c>
      <c r="AF42" s="1097">
        <f>IF($E$17=1,1,0)</f>
        <v>0</v>
      </c>
      <c r="AG42" s="1097">
        <f>IF($E$18=1,0,1)</f>
        <v>0</v>
      </c>
      <c r="AH42" s="1097">
        <f t="shared" si="6"/>
        <v>0</v>
      </c>
    </row>
    <row r="43" spans="3:34" ht="13.5" thickBot="1" x14ac:dyDescent="0.25">
      <c r="D43" s="1336"/>
      <c r="E43" s="1338"/>
      <c r="F43" s="1340"/>
      <c r="G43" s="1139">
        <v>2</v>
      </c>
      <c r="H43" s="1247">
        <f>AV11</f>
        <v>0.55070312160401591</v>
      </c>
      <c r="I43" s="1247">
        <f>BF11</f>
        <v>2.7516475198747534E-2</v>
      </c>
      <c r="J43" s="1248">
        <f>SQRT(I43)</f>
        <v>0.16588090667327429</v>
      </c>
      <c r="K43" s="1036" t="str">
        <f t="shared" si="5"/>
        <v/>
      </c>
      <c r="AE43" s="1242">
        <f>AF43*AG43*$I$18</f>
        <v>0</v>
      </c>
      <c r="AF43" s="1097">
        <f>IF($E$17=1,1,0)</f>
        <v>0</v>
      </c>
      <c r="AG43" s="1097">
        <f>IF($E$18=1,0,1)</f>
        <v>0</v>
      </c>
      <c r="AH43" s="1097">
        <f t="shared" si="6"/>
        <v>0</v>
      </c>
    </row>
    <row r="44" spans="3:34" ht="3.75" customHeight="1" thickBot="1" x14ac:dyDescent="0.25">
      <c r="D44" s="1099"/>
      <c r="E44" s="1099"/>
      <c r="F44" s="1099"/>
      <c r="G44" s="1146"/>
      <c r="H44" s="1249"/>
      <c r="I44" s="1249"/>
      <c r="J44" s="1249"/>
      <c r="K44" s="1036" t="str">
        <f t="shared" si="5"/>
        <v/>
      </c>
      <c r="AE44" s="1242"/>
      <c r="AF44" s="1097"/>
      <c r="AG44" s="1097">
        <f>IF($E$18=1,1,0)</f>
        <v>1</v>
      </c>
      <c r="AH44" s="1097">
        <f t="shared" si="6"/>
        <v>0</v>
      </c>
    </row>
    <row r="45" spans="3:34" x14ac:dyDescent="0.2">
      <c r="D45" s="1335" t="s">
        <v>563</v>
      </c>
      <c r="E45" s="1341" t="str">
        <f>E37</f>
        <v>Siempre</v>
      </c>
      <c r="F45" s="1147" t="s">
        <v>556</v>
      </c>
      <c r="G45" s="1130" t="s">
        <v>60</v>
      </c>
      <c r="H45" s="1240">
        <f>AW10</f>
        <v>0.51971712999049979</v>
      </c>
      <c r="I45" s="1240">
        <f>BG10</f>
        <v>2.5168762234290959E-2</v>
      </c>
      <c r="J45" s="1241">
        <f>SQRT(I45)</f>
        <v>0.15864665844035594</v>
      </c>
      <c r="K45" s="1036" t="str">
        <f t="shared" si="5"/>
        <v/>
      </c>
      <c r="AE45" s="1242">
        <f>AF45*AG45*$I$18</f>
        <v>0</v>
      </c>
      <c r="AF45" s="1097">
        <f>IF($E$17=1,1,0)</f>
        <v>0</v>
      </c>
      <c r="AG45" s="1097">
        <v>1</v>
      </c>
      <c r="AH45" s="1097">
        <f t="shared" si="6"/>
        <v>0</v>
      </c>
    </row>
    <row r="46" spans="3:34" ht="13.5" customHeight="1" thickBot="1" x14ac:dyDescent="0.25">
      <c r="D46" s="1336"/>
      <c r="E46" s="1342"/>
      <c r="F46" s="1148" t="s">
        <v>557</v>
      </c>
      <c r="G46" s="1139" t="s">
        <v>60</v>
      </c>
      <c r="H46" s="1247">
        <f>H45</f>
        <v>0.51971712999049979</v>
      </c>
      <c r="I46" s="1247">
        <f>BH10</f>
        <v>2.5160707381134295E-2</v>
      </c>
      <c r="J46" s="1248">
        <f>SQRT(I46)</f>
        <v>0.15862127026705558</v>
      </c>
      <c r="K46" s="1036" t="str">
        <f t="shared" si="5"/>
        <v/>
      </c>
      <c r="AE46" s="1242">
        <f>AF46*AG46*$I$18</f>
        <v>1</v>
      </c>
      <c r="AF46" s="1097">
        <f>IF($E$17=1,0,1)</f>
        <v>1</v>
      </c>
      <c r="AG46" s="1097">
        <v>1</v>
      </c>
      <c r="AH46" s="1097">
        <f t="shared" si="6"/>
        <v>0</v>
      </c>
    </row>
    <row r="47" spans="3:34" x14ac:dyDescent="0.2">
      <c r="AE47" s="1097"/>
      <c r="AF47" s="1097"/>
      <c r="AG47" s="1097"/>
      <c r="AH47" s="1097"/>
    </row>
    <row r="48" spans="3:34" x14ac:dyDescent="0.2">
      <c r="C48" s="1036" t="s">
        <v>564</v>
      </c>
    </row>
    <row r="49" spans="8:34" x14ac:dyDescent="0.2">
      <c r="K49" s="1097"/>
      <c r="L49" s="1097"/>
      <c r="M49" s="1097"/>
      <c r="N49" s="1097"/>
      <c r="AE49" s="1097"/>
      <c r="AF49" s="1097"/>
      <c r="AG49" s="1097"/>
      <c r="AH49" s="1097"/>
    </row>
    <row r="50" spans="8:34" x14ac:dyDescent="0.2">
      <c r="H50" s="1155"/>
      <c r="K50" s="1097"/>
      <c r="L50" s="1097"/>
      <c r="M50" s="1097"/>
      <c r="N50" s="1097"/>
    </row>
    <row r="51" spans="8:34" x14ac:dyDescent="0.2">
      <c r="K51" s="1097"/>
      <c r="L51" s="1097"/>
      <c r="M51" s="1097"/>
      <c r="N51" s="1097"/>
    </row>
  </sheetData>
  <sheetProtection formatCells="0"/>
  <mergeCells count="17">
    <mergeCell ref="D34:D35"/>
    <mergeCell ref="E34:E35"/>
    <mergeCell ref="F34:F35"/>
    <mergeCell ref="BK7:BK9"/>
    <mergeCell ref="D29:D32"/>
    <mergeCell ref="E29:E32"/>
    <mergeCell ref="F29:F30"/>
    <mergeCell ref="F31:F32"/>
    <mergeCell ref="D45:D46"/>
    <mergeCell ref="E45:E46"/>
    <mergeCell ref="D37:D40"/>
    <mergeCell ref="E37:E40"/>
    <mergeCell ref="F37:F38"/>
    <mergeCell ref="F39:F40"/>
    <mergeCell ref="D42:D43"/>
    <mergeCell ref="E42:E43"/>
    <mergeCell ref="F42:F43"/>
  </mergeCells>
  <conditionalFormatting sqref="H29:H46 J29:J46">
    <cfRule type="expression" dxfId="13" priority="1" stopIfTrue="1">
      <formula>$AE29=1</formula>
    </cfRule>
  </conditionalFormatting>
  <conditionalFormatting sqref="F18 J18">
    <cfRule type="expression" dxfId="12" priority="2" stopIfTrue="1">
      <formula>AND(E18&lt;&gt;1,E18&lt;&gt;0)</formula>
    </cfRule>
  </conditionalFormatting>
  <conditionalFormatting sqref="F17">
    <cfRule type="expression" dxfId="11" priority="3" stopIfTrue="1">
      <formula>AND(E17&lt;&gt;1,E17&lt;&gt;2)</formula>
    </cfRule>
  </conditionalFormatting>
  <conditionalFormatting sqref="F19">
    <cfRule type="expression" dxfId="10" priority="4" stopIfTrue="1">
      <formula>OR(E19=1,AND(E19=0,G13&lt;&gt;1),AND(E19=0.5,G13=1))</formula>
    </cfRule>
  </conditionalFormatting>
  <conditionalFormatting sqref="J20:J21">
    <cfRule type="expression" dxfId="9" priority="5" stopIfTrue="1">
      <formula>AND(#REF!&lt;&gt;1,#REF!&lt;&gt;0)</formula>
    </cfRule>
  </conditionalFormatting>
  <hyperlinks>
    <hyperlink ref="N1" r:id="rId1"/>
    <hyperlink ref="N2" r:id="rId2"/>
  </hyperlinks>
  <pageMargins left="0.78740157480314965" right="0.78740157480314965" top="0.98425196850393704" bottom="0.98425196850393704" header="0" footer="0"/>
  <pageSetup paperSize="9" scale="84" orientation="portrait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INICIO</vt:lpstr>
      <vt:lpstr>Test X2</vt:lpstr>
      <vt:lpstr>Prevalencia</vt:lpstr>
      <vt:lpstr>Test McNemar</vt:lpstr>
      <vt:lpstr>Acuerdo nominal (2x2)</vt:lpstr>
      <vt:lpstr>Test aproximados</vt:lpstr>
      <vt:lpstr>MH01 (2)</vt:lpstr>
      <vt:lpstr>CC</vt:lpstr>
      <vt:lpstr>!</vt:lpstr>
      <vt:lpstr>Report</vt:lpstr>
      <vt:lpstr>Fisher</vt:lpstr>
      <vt:lpstr>MH01</vt:lpstr>
      <vt:lpstr>MH02</vt:lpstr>
      <vt:lpstr>'!'!Área_de_impresión</vt:lpstr>
      <vt:lpstr>'MH01'!Área_de_impresión</vt:lpstr>
      <vt:lpstr>n</vt:lpstr>
      <vt:lpstr>p</vt:lpstr>
      <vt:lpstr>po</vt:lpstr>
      <vt:lpstr>q</vt:lpstr>
      <vt:lpstr>t</vt:lpstr>
      <vt:lpstr>x</vt:lpstr>
    </vt:vector>
  </TitlesOfParts>
  <Company>Porto Alegre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Usuario</cp:lastModifiedBy>
  <dcterms:created xsi:type="dcterms:W3CDTF">2011-07-28T17:06:08Z</dcterms:created>
  <dcterms:modified xsi:type="dcterms:W3CDTF">2024-04-30T10:11:37Z</dcterms:modified>
</cp:coreProperties>
</file>