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000 Docencia\Edificación Instalaciones 1\Instalaciones I\BLOQUE V - CALEFACCION\"/>
    </mc:Choice>
  </mc:AlternateContent>
  <xr:revisionPtr revIDLastSave="0" documentId="13_ncr:1_{5535CD38-E9A8-4B0E-B0D0-B28EB553934E}" xr6:coauthVersionLast="47" xr6:coauthVersionMax="47" xr10:uidLastSave="{00000000-0000-0000-0000-000000000000}"/>
  <bookViews>
    <workbookView xWindow="-108" yWindow="-108" windowWidth="23256" windowHeight="12576" xr2:uid="{5C142225-901D-4FB5-922C-27BEE9E0CA82}"/>
  </bookViews>
  <sheets>
    <sheet name="Inicio" sheetId="7" r:id="rId1"/>
    <sheet name="Cargas térmicas" sheetId="2" r:id="rId2"/>
    <sheet name="Emisores (radiadores)" sheetId="3" r:id="rId3"/>
    <sheet name="Tuberías" sheetId="4" r:id="rId4"/>
  </sheets>
  <definedNames>
    <definedName name="_xlnm.Print_Area" localSheetId="1">'Cargas térmicas'!$A$1:$X$50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W5" i="4" s="1"/>
  <c r="W6" i="4" s="1"/>
  <c r="W7" i="4" s="1"/>
  <c r="W8" i="4" s="1"/>
  <c r="W9" i="4" s="1"/>
  <c r="W10" i="4" s="1"/>
  <c r="W11" i="4" s="1"/>
  <c r="Q11" i="4"/>
  <c r="R11" i="4" s="1"/>
  <c r="Q10" i="4"/>
  <c r="R10" i="4" s="1"/>
  <c r="Q9" i="4"/>
  <c r="Q8" i="4"/>
  <c r="R8" i="4" s="1"/>
  <c r="Q7" i="4"/>
  <c r="R7" i="4" s="1"/>
  <c r="Q6" i="4"/>
  <c r="Q5" i="4"/>
  <c r="R5" i="4" s="1"/>
  <c r="Q4" i="4"/>
  <c r="R4" i="4" s="1"/>
  <c r="Q3" i="4"/>
  <c r="R3" i="4" s="1"/>
  <c r="Q2" i="4"/>
  <c r="R2" i="4" s="1"/>
  <c r="O11" i="4"/>
  <c r="O10" i="4"/>
  <c r="R9" i="4"/>
  <c r="O9" i="4"/>
  <c r="O8" i="4"/>
  <c r="O7" i="4"/>
  <c r="R6" i="4"/>
  <c r="O6" i="4"/>
  <c r="O5" i="4"/>
  <c r="O4" i="4"/>
  <c r="O3" i="4"/>
  <c r="O2" i="4"/>
  <c r="G3" i="3"/>
  <c r="G4" i="3" s="1"/>
  <c r="H2" i="3"/>
  <c r="K2" i="3" s="1"/>
  <c r="B3" i="4" s="1"/>
  <c r="C3" i="4" s="1"/>
  <c r="E3" i="4" s="1"/>
  <c r="F9" i="3"/>
  <c r="F8" i="3"/>
  <c r="F7" i="3"/>
  <c r="F6" i="3"/>
  <c r="F5" i="3"/>
  <c r="F4" i="3"/>
  <c r="F3" i="3"/>
  <c r="F2" i="3"/>
  <c r="H3" i="3" l="1"/>
  <c r="K3" i="3" s="1"/>
  <c r="F3" i="4"/>
  <c r="G3" i="4" s="1"/>
  <c r="M3" i="4" s="1"/>
  <c r="N3" i="4" s="1"/>
  <c r="P3" i="4" s="1"/>
  <c r="T3" i="4" s="1"/>
  <c r="X3" i="4" s="1"/>
  <c r="H3" i="4"/>
  <c r="G5" i="3"/>
  <c r="H5" i="3" s="1"/>
  <c r="K5" i="3" s="1"/>
  <c r="H4" i="3"/>
  <c r="K4" i="3" s="1"/>
  <c r="G6" i="3"/>
  <c r="B4" i="4" l="1"/>
  <c r="C4" i="4" s="1"/>
  <c r="E4" i="4" s="1"/>
  <c r="G7" i="3"/>
  <c r="H6" i="3"/>
  <c r="K6" i="3" s="1"/>
  <c r="H4" i="4" l="1"/>
  <c r="F4" i="4"/>
  <c r="G4" i="4" s="1"/>
  <c r="M4" i="4" s="1"/>
  <c r="N4" i="4" s="1"/>
  <c r="P4" i="4" s="1"/>
  <c r="T4" i="4" s="1"/>
  <c r="X4" i="4" s="1"/>
  <c r="G8" i="3"/>
  <c r="H7" i="3"/>
  <c r="K7" i="3" s="1"/>
  <c r="G9" i="3" l="1"/>
  <c r="H9" i="3" s="1"/>
  <c r="K9" i="3" s="1"/>
  <c r="H8" i="3"/>
  <c r="K8" i="3" s="1"/>
  <c r="P45" i="2" l="1"/>
  <c r="P39" i="2"/>
  <c r="P33" i="2"/>
  <c r="P27" i="2"/>
  <c r="P21" i="2"/>
  <c r="P15" i="2"/>
  <c r="P9" i="2"/>
  <c r="D4" i="2"/>
  <c r="O45" i="2"/>
  <c r="O39" i="2"/>
  <c r="O33" i="2"/>
  <c r="O27" i="2"/>
  <c r="O21" i="2"/>
  <c r="O15" i="2"/>
  <c r="J47" i="2"/>
  <c r="J46" i="2"/>
  <c r="J45" i="2"/>
  <c r="J43" i="2"/>
  <c r="J42" i="2"/>
  <c r="J41" i="2"/>
  <c r="J40" i="2"/>
  <c r="J39" i="2"/>
  <c r="J36" i="2"/>
  <c r="J35" i="2"/>
  <c r="J34" i="2"/>
  <c r="J33" i="2"/>
  <c r="J30" i="2"/>
  <c r="J29" i="2"/>
  <c r="J28" i="2"/>
  <c r="J27" i="2"/>
  <c r="J25" i="2"/>
  <c r="J24" i="2"/>
  <c r="J23" i="2"/>
  <c r="J22" i="2"/>
  <c r="J21" i="2"/>
  <c r="J19" i="2"/>
  <c r="J18" i="2"/>
  <c r="J17" i="2"/>
  <c r="J16" i="2"/>
  <c r="J15" i="2"/>
  <c r="J12" i="2"/>
  <c r="J11" i="2"/>
  <c r="J10" i="2"/>
  <c r="J9" i="2"/>
  <c r="J7" i="2"/>
  <c r="J6" i="2"/>
  <c r="J5" i="2"/>
  <c r="J4" i="2"/>
  <c r="O9" i="2"/>
  <c r="F47" i="2"/>
  <c r="H47" i="2" s="1"/>
  <c r="F46" i="2"/>
  <c r="H46" i="2" s="1"/>
  <c r="F45" i="2"/>
  <c r="H45" i="2" s="1"/>
  <c r="L45" i="2" s="1"/>
  <c r="F43" i="2"/>
  <c r="H43" i="2" s="1"/>
  <c r="L43" i="2" s="1"/>
  <c r="F42" i="2"/>
  <c r="H42" i="2" s="1"/>
  <c r="L42" i="2" s="1"/>
  <c r="F41" i="2"/>
  <c r="H41" i="2" s="1"/>
  <c r="L41" i="2" s="1"/>
  <c r="F40" i="2"/>
  <c r="H40" i="2" s="1"/>
  <c r="L40" i="2" s="1"/>
  <c r="F39" i="2"/>
  <c r="F36" i="2"/>
  <c r="H36" i="2" s="1"/>
  <c r="F35" i="2"/>
  <c r="H35" i="2" s="1"/>
  <c r="F34" i="2"/>
  <c r="H34" i="2" s="1"/>
  <c r="F33" i="2"/>
  <c r="F30" i="2"/>
  <c r="H30" i="2" s="1"/>
  <c r="F29" i="2"/>
  <c r="H29" i="2" s="1"/>
  <c r="F28" i="2"/>
  <c r="H28" i="2" s="1"/>
  <c r="L28" i="2" s="1"/>
  <c r="F27" i="2"/>
  <c r="F25" i="2"/>
  <c r="H25" i="2" s="1"/>
  <c r="F24" i="2"/>
  <c r="H24" i="2" s="1"/>
  <c r="F23" i="2"/>
  <c r="H23" i="2" s="1"/>
  <c r="F22" i="2"/>
  <c r="H22" i="2" s="1"/>
  <c r="F21" i="2"/>
  <c r="F19" i="2"/>
  <c r="H19" i="2" s="1"/>
  <c r="F18" i="2"/>
  <c r="H18" i="2" s="1"/>
  <c r="F17" i="2"/>
  <c r="H17" i="2" s="1"/>
  <c r="F16" i="2"/>
  <c r="H16" i="2" s="1"/>
  <c r="L16" i="2" s="1"/>
  <c r="F15" i="2"/>
  <c r="F14" i="2"/>
  <c r="H14" i="2" s="1"/>
  <c r="F13" i="2"/>
  <c r="H13" i="2" s="1"/>
  <c r="F12" i="2"/>
  <c r="H12" i="2" s="1"/>
  <c r="L12" i="2" s="1"/>
  <c r="F11" i="2"/>
  <c r="H11" i="2" s="1"/>
  <c r="L11" i="2" s="1"/>
  <c r="F10" i="2"/>
  <c r="H10" i="2" s="1"/>
  <c r="L10" i="2" s="1"/>
  <c r="F9" i="2"/>
  <c r="R3" i="2"/>
  <c r="P3" i="2"/>
  <c r="O3" i="2"/>
  <c r="H7" i="2"/>
  <c r="H6" i="2"/>
  <c r="H5" i="2"/>
  <c r="F7" i="2"/>
  <c r="F6" i="2"/>
  <c r="F5" i="2"/>
  <c r="F4" i="2"/>
  <c r="H4" i="2" s="1"/>
  <c r="F3" i="2"/>
  <c r="R27" i="2" l="1"/>
  <c r="R45" i="2"/>
  <c r="G39" i="2"/>
  <c r="H39" i="2" s="1"/>
  <c r="L39" i="2" s="1"/>
  <c r="M39" i="2" s="1"/>
  <c r="G27" i="2"/>
  <c r="H27" i="2" s="1"/>
  <c r="L27" i="2" s="1"/>
  <c r="G3" i="2"/>
  <c r="H3" i="2" s="1"/>
  <c r="L3" i="2" s="1"/>
  <c r="L22" i="2"/>
  <c r="R33" i="2"/>
  <c r="L34" i="2"/>
  <c r="R39" i="2"/>
  <c r="R15" i="2"/>
  <c r="R9" i="2"/>
  <c r="G9" i="2"/>
  <c r="H9" i="2" s="1"/>
  <c r="L9" i="2" s="1"/>
  <c r="G33" i="2"/>
  <c r="H33" i="2" s="1"/>
  <c r="L33" i="2" s="1"/>
  <c r="G15" i="2"/>
  <c r="H15" i="2" s="1"/>
  <c r="L15" i="2" s="1"/>
  <c r="L46" i="2"/>
  <c r="L47" i="2"/>
  <c r="L35" i="2"/>
  <c r="L36" i="2"/>
  <c r="L29" i="2"/>
  <c r="L30" i="2"/>
  <c r="L23" i="2"/>
  <c r="L24" i="2"/>
  <c r="L25" i="2"/>
  <c r="G21" i="2"/>
  <c r="H21" i="2" s="1"/>
  <c r="L21" i="2" s="1"/>
  <c r="L18" i="2"/>
  <c r="L17" i="2"/>
  <c r="L19" i="2"/>
  <c r="L4" i="2"/>
  <c r="L5" i="2"/>
  <c r="L7" i="2"/>
  <c r="L6" i="2"/>
  <c r="M45" i="2" l="1"/>
  <c r="V45" i="2" s="1"/>
  <c r="C9" i="3" s="1"/>
  <c r="L9" i="3" s="1"/>
  <c r="N9" i="3" s="1"/>
  <c r="B10" i="4" s="1"/>
  <c r="C10" i="4" s="1"/>
  <c r="E10" i="4" s="1"/>
  <c r="R21" i="2"/>
  <c r="M21" i="2"/>
  <c r="M27" i="2"/>
  <c r="V27" i="2" s="1"/>
  <c r="C6" i="3" s="1"/>
  <c r="L6" i="3" s="1"/>
  <c r="N6" i="3" s="1"/>
  <c r="B11" i="4" s="1"/>
  <c r="C11" i="4" s="1"/>
  <c r="E11" i="4" s="1"/>
  <c r="V39" i="2"/>
  <c r="C8" i="3" s="1"/>
  <c r="L8" i="3" s="1"/>
  <c r="N8" i="3" s="1"/>
  <c r="B9" i="4" s="1"/>
  <c r="C9" i="4" s="1"/>
  <c r="E9" i="4" s="1"/>
  <c r="M3" i="2"/>
  <c r="V3" i="2" s="1"/>
  <c r="C2" i="3" s="1"/>
  <c r="M9" i="2"/>
  <c r="V9" i="2" s="1"/>
  <c r="C3" i="3" s="1"/>
  <c r="L3" i="3" s="1"/>
  <c r="N3" i="3" s="1"/>
  <c r="B5" i="4" s="1"/>
  <c r="C5" i="4" s="1"/>
  <c r="E5" i="4" s="1"/>
  <c r="M15" i="2"/>
  <c r="V15" i="2" s="1"/>
  <c r="C4" i="3" s="1"/>
  <c r="L4" i="3" s="1"/>
  <c r="N4" i="3" s="1"/>
  <c r="B6" i="4" s="1"/>
  <c r="C6" i="4" s="1"/>
  <c r="E6" i="4" s="1"/>
  <c r="M33" i="2"/>
  <c r="V33" i="2" s="1"/>
  <c r="C7" i="3" s="1"/>
  <c r="L7" i="3" s="1"/>
  <c r="N7" i="3" s="1"/>
  <c r="B8" i="4" s="1"/>
  <c r="C8" i="4" s="1"/>
  <c r="E8" i="4" s="1"/>
  <c r="H10" i="4" l="1"/>
  <c r="F10" i="4"/>
  <c r="G10" i="4" s="1"/>
  <c r="M10" i="4" s="1"/>
  <c r="N10" i="4" s="1"/>
  <c r="P10" i="4" s="1"/>
  <c r="T10" i="4" s="1"/>
  <c r="X10" i="4" s="1"/>
  <c r="H5" i="4"/>
  <c r="F5" i="4"/>
  <c r="G5" i="4" s="1"/>
  <c r="M5" i="4" s="1"/>
  <c r="N5" i="4" s="1"/>
  <c r="P5" i="4" s="1"/>
  <c r="T5" i="4" s="1"/>
  <c r="X5" i="4" s="1"/>
  <c r="H11" i="4"/>
  <c r="F11" i="4"/>
  <c r="G11" i="4" s="1"/>
  <c r="M11" i="4" s="1"/>
  <c r="N11" i="4" s="1"/>
  <c r="P11" i="4" s="1"/>
  <c r="T11" i="4" s="1"/>
  <c r="X11" i="4" s="1"/>
  <c r="H9" i="4"/>
  <c r="F9" i="4"/>
  <c r="G9" i="4" s="1"/>
  <c r="M9" i="4" s="1"/>
  <c r="N9" i="4" s="1"/>
  <c r="P9" i="4" s="1"/>
  <c r="T9" i="4" s="1"/>
  <c r="X9" i="4" s="1"/>
  <c r="H8" i="4"/>
  <c r="F8" i="4"/>
  <c r="G8" i="4" s="1"/>
  <c r="M8" i="4" s="1"/>
  <c r="N8" i="4" s="1"/>
  <c r="P8" i="4" s="1"/>
  <c r="T8" i="4" s="1"/>
  <c r="X8" i="4" s="1"/>
  <c r="V21" i="2"/>
  <c r="C5" i="3" s="1"/>
  <c r="L5" i="3" s="1"/>
  <c r="N5" i="3" s="1"/>
  <c r="B7" i="4" s="1"/>
  <c r="C7" i="4" s="1"/>
  <c r="E7" i="4" s="1"/>
  <c r="H6" i="4"/>
  <c r="F6" i="4"/>
  <c r="G6" i="4" s="1"/>
  <c r="M6" i="4" s="1"/>
  <c r="N6" i="4" s="1"/>
  <c r="P6" i="4" s="1"/>
  <c r="T6" i="4" s="1"/>
  <c r="X6" i="4" s="1"/>
  <c r="L2" i="3"/>
  <c r="N2" i="3" s="1"/>
  <c r="W3" i="2" l="1"/>
  <c r="X3" i="2" s="1"/>
  <c r="N10" i="3"/>
  <c r="C10" i="3"/>
  <c r="F7" i="4"/>
  <c r="G7" i="4" s="1"/>
  <c r="M7" i="4" s="1"/>
  <c r="N7" i="4" s="1"/>
  <c r="P7" i="4" s="1"/>
  <c r="T7" i="4" s="1"/>
  <c r="X7" i="4" s="1"/>
  <c r="H7" i="4"/>
  <c r="B2" i="4" l="1"/>
  <c r="C2" i="4" s="1"/>
  <c r="E2" i="4" s="1"/>
  <c r="H2" i="4" s="1"/>
  <c r="F2" i="4" l="1"/>
  <c r="G2" i="4" s="1"/>
  <c r="M2" i="4" s="1"/>
  <c r="N2" i="4" s="1"/>
  <c r="P2" i="4" s="1"/>
  <c r="T2" i="4" s="1"/>
  <c r="X2" i="4" l="1"/>
</calcChain>
</file>

<file path=xl/sharedStrings.xml><?xml version="1.0" encoding="utf-8"?>
<sst xmlns="http://schemas.openxmlformats.org/spreadsheetml/2006/main" count="152" uniqueCount="99">
  <si>
    <t>Tipología</t>
  </si>
  <si>
    <t>Fachada</t>
  </si>
  <si>
    <t>Cubierta</t>
  </si>
  <si>
    <t>Suelo</t>
  </si>
  <si>
    <t>Tipología de habitación</t>
  </si>
  <si>
    <t>Vivienda</t>
  </si>
  <si>
    <t>Unifamiliar</t>
  </si>
  <si>
    <t>Salón</t>
  </si>
  <si>
    <t>Cargas por transmisión</t>
  </si>
  <si>
    <t>Elementos</t>
  </si>
  <si>
    <t>Carga transmisión
(W)</t>
  </si>
  <si>
    <t>Ventana</t>
  </si>
  <si>
    <t>Medianera</t>
  </si>
  <si>
    <t>Carga total transmisión
(W)</t>
  </si>
  <si>
    <t>Cargas por ventilación</t>
  </si>
  <si>
    <t>Complementos</t>
  </si>
  <si>
    <t>Orientación</t>
  </si>
  <si>
    <t>Puerta ext</t>
  </si>
  <si>
    <t>Tipología de habitaciones</t>
  </si>
  <si>
    <t>Carga térmica (W)</t>
  </si>
  <si>
    <t>Total</t>
  </si>
  <si>
    <t>Modelo de radiador</t>
  </si>
  <si>
    <t>EUROPA 700 C</t>
  </si>
  <si>
    <t>Exponente n</t>
  </si>
  <si>
    <t>Emisión térmica
(W)</t>
  </si>
  <si>
    <t>Nº elementos</t>
  </si>
  <si>
    <t>Nº radiadores</t>
  </si>
  <si>
    <t>Tramo</t>
  </si>
  <si>
    <t>A-B</t>
  </si>
  <si>
    <t>B-C</t>
  </si>
  <si>
    <t>B-D</t>
  </si>
  <si>
    <t>B-E</t>
  </si>
  <si>
    <t>B-F</t>
  </si>
  <si>
    <t>B-G</t>
  </si>
  <si>
    <t>B-H</t>
  </si>
  <si>
    <t>B-I</t>
  </si>
  <si>
    <t>B-J</t>
  </si>
  <si>
    <t>Potencia (W)</t>
  </si>
  <si>
    <t>B-K</t>
  </si>
  <si>
    <t>Caudal (l/h)</t>
  </si>
  <si>
    <t>Longitud (m)</t>
  </si>
  <si>
    <t>Caudal de cálculo (l/s)</t>
  </si>
  <si>
    <t>Caudal de cálculo (l/h)</t>
  </si>
  <si>
    <t>Caudal de cálculo (m³/s)</t>
  </si>
  <si>
    <t>Diámetro teórico para elección tubería       (mm)</t>
  </si>
  <si>
    <t>Tipo de tubería</t>
  </si>
  <si>
    <t>Diámetro nominal (pulgadas o mm)</t>
  </si>
  <si>
    <t>Diámetro interior       (mm)</t>
  </si>
  <si>
    <t>Rugosidad absoluta   "ε"         (mm)</t>
  </si>
  <si>
    <t>Velocidad (m/s)</t>
  </si>
  <si>
    <t>Número de Reynolds
"Re"</t>
  </si>
  <si>
    <t>Rugosidad relativa        "ε/Di"    (mm)</t>
  </si>
  <si>
    <t>Factor de fricción
"f"</t>
  </si>
  <si>
    <t>Accesorios
Leq
(m)</t>
  </si>
  <si>
    <t>Leq.total
(m)</t>
  </si>
  <si>
    <r>
      <t>Accesorios
"</t>
    </r>
    <r>
      <rPr>
        <b/>
        <sz val="10"/>
        <color rgb="FF000000"/>
        <rFont val="Arial"/>
        <family val="2"/>
      </rPr>
      <t>∑Ki "</t>
    </r>
  </si>
  <si>
    <t>∆H
(mca)</t>
  </si>
  <si>
    <t>Cota inicial
"Zi"</t>
  </si>
  <si>
    <t>Cota final
"Zj"</t>
  </si>
  <si>
    <t>Presión disponible inicial
"Hi"
(mca)</t>
  </si>
  <si>
    <t>Presión disponible final
"Hj"
(mca)</t>
  </si>
  <si>
    <t>PE-X Serie 3,2</t>
  </si>
  <si>
    <t>Aislamiento (mm)</t>
  </si>
  <si>
    <t>INSTALACIONES I</t>
  </si>
  <si>
    <t>Prof. David Bienvenido Huertas</t>
  </si>
  <si>
    <t>Prof. Emilio Gómez Cobos</t>
  </si>
  <si>
    <t>CALEFACCIÓN</t>
  </si>
  <si>
    <t>Transmitancia térmica
(W/m²K)</t>
  </si>
  <si>
    <t>Área bruta
(m²)</t>
  </si>
  <si>
    <t>Dimensión b
(m)</t>
  </si>
  <si>
    <t>Dimensión a
(m)</t>
  </si>
  <si>
    <t>Área neta
(m²)</t>
  </si>
  <si>
    <t>Tint
(ºc)</t>
  </si>
  <si>
    <t>Text
(ºc)</t>
  </si>
  <si>
    <t>Carga
ventilación
(W)</t>
  </si>
  <si>
    <t>Renovaciones
hora</t>
  </si>
  <si>
    <t>Intermitencia
de uso</t>
  </si>
  <si>
    <t>2 ó más
fachadas al
exterior</t>
  </si>
  <si>
    <t>Carta térmica
total
(W)</t>
  </si>
  <si>
    <t>Total
vivienda
(W)</t>
  </si>
  <si>
    <t>Total
vivienda
(kW)</t>
  </si>
  <si>
    <t>Tint
(ºC)</t>
  </si>
  <si>
    <t>Text
(ºC)</t>
  </si>
  <si>
    <t>∆T
(ºC)</t>
  </si>
  <si>
    <t>Tª ida
(ºC)</t>
  </si>
  <si>
    <t>Tª retorno
(ºC)</t>
  </si>
  <si>
    <t>Tª interior
(ºC)</t>
  </si>
  <si>
    <t>Emisión térmica
∆T=30ºC
(W)</t>
  </si>
  <si>
    <t>Emisión
térmica
definitiva
(W)</t>
  </si>
  <si>
    <t>Dormitorio 1</t>
  </si>
  <si>
    <t>Cocina</t>
  </si>
  <si>
    <t>Baño</t>
  </si>
  <si>
    <t>Vestíbulo</t>
  </si>
  <si>
    <t>Dormitorio 2</t>
  </si>
  <si>
    <t>Dormitorio 3</t>
  </si>
  <si>
    <t>Pasillo</t>
  </si>
  <si>
    <t>Cocinna</t>
  </si>
  <si>
    <t>Área a descontar
(m²)</t>
  </si>
  <si>
    <t>Volumen
(m³)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</si>
</sst>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4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3F3F3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rgb="FF666666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4" fontId="4" fillId="2" borderId="7" xfId="2" applyNumberFormat="1" applyFont="1" applyFill="1" applyBorder="1" applyAlignment="1">
      <alignment horizontal="center" vertical="top" wrapText="1"/>
    </xf>
    <xf numFmtId="4" fontId="6" fillId="0" borderId="7" xfId="2" applyNumberFormat="1" applyFont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4" fontId="6" fillId="4" borderId="7" xfId="2" applyNumberFormat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4" fontId="8" fillId="0" borderId="10" xfId="2" applyNumberFormat="1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4" fontId="8" fillId="0" borderId="7" xfId="2" applyNumberFormat="1" applyFont="1" applyBorder="1" applyAlignment="1" applyProtection="1">
      <alignment horizontal="center" vertical="center"/>
      <protection locked="0"/>
    </xf>
    <xf numFmtId="165" fontId="6" fillId="0" borderId="7" xfId="2" applyNumberFormat="1" applyFont="1" applyBorder="1" applyAlignment="1" applyProtection="1">
      <alignment horizontal="center" vertical="center"/>
      <protection locked="0"/>
    </xf>
    <xf numFmtId="2" fontId="6" fillId="4" borderId="7" xfId="2" applyNumberFormat="1" applyFont="1" applyFill="1" applyBorder="1" applyAlignment="1">
      <alignment horizontal="center" vertical="center"/>
    </xf>
    <xf numFmtId="3" fontId="6" fillId="4" borderId="7" xfId="2" applyNumberFormat="1" applyFont="1" applyFill="1" applyBorder="1" applyAlignment="1">
      <alignment horizontal="center" vertical="center"/>
    </xf>
    <xf numFmtId="165" fontId="6" fillId="4" borderId="7" xfId="2" applyNumberFormat="1" applyFont="1" applyFill="1" applyBorder="1" applyAlignment="1">
      <alignment horizontal="center" vertical="center"/>
    </xf>
    <xf numFmtId="2" fontId="6" fillId="5" borderId="7" xfId="2" applyNumberFormat="1" applyFont="1" applyFill="1" applyBorder="1" applyAlignment="1">
      <alignment horizontal="center" vertical="center"/>
    </xf>
    <xf numFmtId="0" fontId="9" fillId="6" borderId="0" xfId="0" applyFont="1" applyFill="1"/>
    <xf numFmtId="0" fontId="0" fillId="6" borderId="0" xfId="0" applyFill="1"/>
    <xf numFmtId="0" fontId="10" fillId="6" borderId="0" xfId="0" applyFont="1" applyFill="1" applyAlignment="1">
      <alignment horizontal="center"/>
    </xf>
    <xf numFmtId="0" fontId="11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Border="1"/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4" fontId="4" fillId="2" borderId="7" xfId="2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2" xfId="0" applyNumberFormat="1" applyFont="1" applyFill="1" applyBorder="1" applyAlignment="1" applyProtection="1">
      <alignment horizontal="center" vertical="top"/>
      <protection locked="0"/>
    </xf>
    <xf numFmtId="2" fontId="7" fillId="3" borderId="3" xfId="0" applyNumberFormat="1" applyFont="1" applyFill="1" applyBorder="1" applyAlignment="1" applyProtection="1">
      <alignment horizontal="center" vertical="top"/>
      <protection locked="0"/>
    </xf>
    <xf numFmtId="2" fontId="7" fillId="3" borderId="4" xfId="0" applyNumberFormat="1" applyFont="1" applyFill="1" applyBorder="1" applyAlignment="1" applyProtection="1">
      <alignment horizontal="center" vertical="top"/>
      <protection locked="0"/>
    </xf>
    <xf numFmtId="0" fontId="7" fillId="6" borderId="0" xfId="0" applyFont="1" applyFill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2" xfId="2" applyNumberFormat="1" applyFont="1" applyFill="1" applyBorder="1" applyAlignment="1">
      <alignment horizontal="center" vertical="center" wrapText="1"/>
    </xf>
    <xf numFmtId="4" fontId="4" fillId="2" borderId="13" xfId="2" applyNumberFormat="1" applyFont="1" applyFill="1" applyBorder="1" applyAlignment="1">
      <alignment horizontal="center" vertical="center" wrapText="1"/>
    </xf>
    <xf numFmtId="4" fontId="4" fillId="2" borderId="14" xfId="2" applyNumberFormat="1" applyFont="1" applyFill="1" applyBorder="1" applyAlignment="1">
      <alignment horizontal="center" vertical="center" wrapText="1"/>
    </xf>
    <xf numFmtId="4" fontId="4" fillId="2" borderId="15" xfId="2" applyNumberFormat="1" applyFont="1" applyFill="1" applyBorder="1" applyAlignment="1">
      <alignment horizontal="center" vertical="center" wrapText="1"/>
    </xf>
    <xf numFmtId="4" fontId="4" fillId="2" borderId="16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4" fontId="4" fillId="2" borderId="8" xfId="2" applyNumberFormat="1" applyFont="1" applyFill="1" applyBorder="1" applyAlignment="1">
      <alignment horizontal="center" vertical="center" wrapText="1"/>
    </xf>
    <xf numFmtId="4" fontId="4" fillId="2" borderId="17" xfId="2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9" fontId="7" fillId="6" borderId="2" xfId="1" applyFont="1" applyFill="1" applyBorder="1" applyAlignment="1">
      <alignment horizontal="center" vertical="center"/>
    </xf>
    <xf numFmtId="9" fontId="7" fillId="6" borderId="3" xfId="1" applyFont="1" applyFill="1" applyBorder="1" applyAlignment="1">
      <alignment horizontal="center" vertical="center"/>
    </xf>
    <xf numFmtId="9" fontId="7" fillId="6" borderId="4" xfId="1" applyFont="1" applyFill="1" applyBorder="1" applyAlignment="1">
      <alignment horizontal="center" vertical="center"/>
    </xf>
    <xf numFmtId="2" fontId="2" fillId="6" borderId="0" xfId="0" applyNumberFormat="1" applyFont="1" applyFill="1"/>
    <xf numFmtId="0" fontId="4" fillId="2" borderId="7" xfId="2" applyFont="1" applyFill="1" applyBorder="1" applyAlignment="1">
      <alignment horizontal="center" vertical="center" wrapText="1"/>
    </xf>
    <xf numFmtId="164" fontId="4" fillId="2" borderId="7" xfId="2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165" fontId="4" fillId="2" borderId="7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</cellXfs>
  <cellStyles count="3">
    <cellStyle name="Normal" xfId="0" builtinId="0"/>
    <cellStyle name="Normal 2" xfId="2" xr:uid="{DED7C72E-FEA7-4BE6-B7F8-82D57176A8DC}"/>
    <cellStyle name="Porcentaje" xfId="1" builtinId="5"/>
  </cellStyles>
  <dxfs count="0"/>
  <tableStyles count="0" defaultTableStyle="TableStyleMedium2" defaultPivotStyle="PivotStyleLight16"/>
  <colors>
    <mruColors>
      <color rgb="FFFFAFAF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argas t&#233;rmicas'!A1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64642</xdr:colOff>
      <xdr:row>1</xdr:row>
      <xdr:rowOff>56859</xdr:rowOff>
    </xdr:from>
    <xdr:to>
      <xdr:col>3</xdr:col>
      <xdr:colOff>18107</xdr:colOff>
      <xdr:row>9</xdr:row>
      <xdr:rowOff>33792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4AFF79-F9B4-4CCA-BC2F-531EBB4A5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122" y="239739"/>
          <a:ext cx="1538425" cy="1439973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3</xdr:col>
      <xdr:colOff>385950</xdr:colOff>
      <xdr:row>1</xdr:row>
      <xdr:rowOff>53438</xdr:rowOff>
    </xdr:from>
    <xdr:to>
      <xdr:col>10</xdr:col>
      <xdr:colOff>391886</xdr:colOff>
      <xdr:row>9</xdr:row>
      <xdr:rowOff>31431</xdr:rowOff>
    </xdr:to>
    <xdr:pic>
      <xdr:nvPicPr>
        <xdr:cNvPr id="3" name="Picture 4" descr="Identidad Visual Corporativa ETSIE - Escuela Técnica Superior de Ingeniería  de Edificación - Universidad de Granada">
          <a:extLst>
            <a:ext uri="{FF2B5EF4-FFF2-40B4-BE49-F238E27FC236}">
              <a16:creationId xmlns:a16="http://schemas.microsoft.com/office/drawing/2014/main" id="{DDF928D5-CA46-40BC-BE98-D986A89C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3390" y="236318"/>
          <a:ext cx="5553296" cy="144103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213756</xdr:colOff>
      <xdr:row>19</xdr:row>
      <xdr:rowOff>95003</xdr:rowOff>
    </xdr:from>
    <xdr:to>
      <xdr:col>6</xdr:col>
      <xdr:colOff>368135</xdr:colOff>
      <xdr:row>24</xdr:row>
      <xdr:rowOff>89067</xdr:rowOff>
    </xdr:to>
    <xdr:pic>
      <xdr:nvPicPr>
        <xdr:cNvPr id="4" name="Gráfico 3" descr="Reproduci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98891B-64EC-478E-B71F-868C5651E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176156" y="4301243"/>
          <a:ext cx="946859" cy="90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19B5-856D-4583-A10B-496548FEE3E2}">
  <dimension ref="B14:I19"/>
  <sheetViews>
    <sheetView tabSelected="1" workbookViewId="0">
      <selection activeCell="L11" sqref="L11"/>
    </sheetView>
  </sheetViews>
  <sheetFormatPr baseColWidth="10" defaultRowHeight="14.4" x14ac:dyDescent="0.3"/>
  <cols>
    <col min="1" max="16384" width="11.5546875" style="16"/>
  </cols>
  <sheetData>
    <row r="14" spans="4:9" ht="59.4" x14ac:dyDescent="1.1000000000000001">
      <c r="D14" s="15" t="s">
        <v>63</v>
      </c>
      <c r="E14" s="15"/>
      <c r="F14" s="15"/>
      <c r="G14" s="15"/>
      <c r="H14" s="15"/>
      <c r="I14" s="15"/>
    </row>
    <row r="15" spans="4:9" ht="23.4" x14ac:dyDescent="0.45">
      <c r="D15" s="17" t="s">
        <v>66</v>
      </c>
      <c r="E15" s="17"/>
      <c r="F15" s="17"/>
      <c r="G15" s="17"/>
      <c r="H15" s="17"/>
      <c r="I15" s="17"/>
    </row>
    <row r="19" spans="2:9" ht="18" x14ac:dyDescent="0.35">
      <c r="B19" s="18" t="s">
        <v>64</v>
      </c>
      <c r="I19" s="18" t="s">
        <v>65</v>
      </c>
    </row>
  </sheetData>
  <mergeCells count="1">
    <mergeCell ref="D15:I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7382-0A8B-471D-BFE5-832AA27F67C6}">
  <sheetPr>
    <tabColor theme="7" tint="0.39997558519241921"/>
    <pageSetUpPr fitToPage="1"/>
  </sheetPr>
  <dimension ref="A1:X50"/>
  <sheetViews>
    <sheetView zoomScaleNormal="100" workbookViewId="0">
      <selection sqref="A1:A2"/>
    </sheetView>
  </sheetViews>
  <sheetFormatPr baseColWidth="10" defaultRowHeight="13.2" x14ac:dyDescent="0.3"/>
  <cols>
    <col min="1" max="1" width="18.21875" style="35" bestFit="1" customWidth="1"/>
    <col min="2" max="2" width="36.44140625" style="35" bestFit="1" customWidth="1"/>
    <col min="3" max="3" width="25.5546875" style="35" customWidth="1"/>
    <col min="4" max="4" width="25.88671875" style="35" customWidth="1"/>
    <col min="5" max="5" width="26" style="35" customWidth="1"/>
    <col min="6" max="6" width="25.33203125" style="35" customWidth="1"/>
    <col min="7" max="7" width="34.77734375" style="35" customWidth="1"/>
    <col min="8" max="8" width="23.88671875" style="35" customWidth="1"/>
    <col min="9" max="9" width="24.109375" style="35" customWidth="1"/>
    <col min="10" max="11" width="11.5546875" style="35" customWidth="1"/>
    <col min="12" max="12" width="24.109375" style="35" customWidth="1"/>
    <col min="13" max="13" width="22.88671875" style="35" customWidth="1"/>
    <col min="14" max="14" width="23.21875" style="35" bestFit="1" customWidth="1"/>
    <col min="15" max="15" width="15.109375" style="35" bestFit="1" customWidth="1"/>
    <col min="16" max="16" width="7.21875" style="35" bestFit="1" customWidth="1"/>
    <col min="17" max="17" width="7.77734375" style="35" bestFit="1" customWidth="1"/>
    <col min="18" max="18" width="19.33203125" style="35" bestFit="1" customWidth="1"/>
    <col min="19" max="19" width="20.44140625" style="35" bestFit="1" customWidth="1"/>
    <col min="20" max="20" width="22.6640625" style="35" bestFit="1" customWidth="1"/>
    <col min="21" max="21" width="20.109375" style="35" bestFit="1" customWidth="1"/>
    <col min="22" max="22" width="22.88671875" style="35" bestFit="1" customWidth="1"/>
    <col min="23" max="24" width="14.88671875" style="35" bestFit="1" customWidth="1"/>
    <col min="25" max="16384" width="11.5546875" style="35"/>
  </cols>
  <sheetData>
    <row r="1" spans="1:24" ht="13.2" customHeight="1" x14ac:dyDescent="0.3">
      <c r="A1" s="39" t="s">
        <v>5</v>
      </c>
      <c r="B1" s="39" t="s">
        <v>4</v>
      </c>
      <c r="C1" s="36" t="s">
        <v>8</v>
      </c>
      <c r="D1" s="37"/>
      <c r="E1" s="37"/>
      <c r="F1" s="37"/>
      <c r="G1" s="37"/>
      <c r="H1" s="37"/>
      <c r="I1" s="37"/>
      <c r="J1" s="37"/>
      <c r="K1" s="37"/>
      <c r="L1" s="37"/>
      <c r="M1" s="38"/>
      <c r="N1" s="41" t="s">
        <v>14</v>
      </c>
      <c r="O1" s="37"/>
      <c r="P1" s="37"/>
      <c r="Q1" s="37"/>
      <c r="R1" s="42"/>
      <c r="S1" s="36" t="s">
        <v>15</v>
      </c>
      <c r="T1" s="37"/>
      <c r="U1" s="42"/>
      <c r="V1" s="43" t="s">
        <v>78</v>
      </c>
      <c r="W1" s="43" t="s">
        <v>79</v>
      </c>
      <c r="X1" s="43" t="s">
        <v>80</v>
      </c>
    </row>
    <row r="2" spans="1:24" ht="75" customHeight="1" x14ac:dyDescent="0.3">
      <c r="A2" s="40"/>
      <c r="B2" s="40"/>
      <c r="C2" s="28" t="s">
        <v>9</v>
      </c>
      <c r="D2" s="28" t="s">
        <v>70</v>
      </c>
      <c r="E2" s="28" t="s">
        <v>69</v>
      </c>
      <c r="F2" s="28" t="s">
        <v>68</v>
      </c>
      <c r="G2" s="28" t="s">
        <v>97</v>
      </c>
      <c r="H2" s="28" t="s">
        <v>71</v>
      </c>
      <c r="I2" s="28" t="s">
        <v>67</v>
      </c>
      <c r="J2" s="28" t="s">
        <v>81</v>
      </c>
      <c r="K2" s="28" t="s">
        <v>82</v>
      </c>
      <c r="L2" s="28" t="s">
        <v>10</v>
      </c>
      <c r="M2" s="28" t="s">
        <v>13</v>
      </c>
      <c r="N2" s="28" t="s">
        <v>75</v>
      </c>
      <c r="O2" s="28" t="s">
        <v>98</v>
      </c>
      <c r="P2" s="28" t="s">
        <v>72</v>
      </c>
      <c r="Q2" s="28" t="s">
        <v>73</v>
      </c>
      <c r="R2" s="28" t="s">
        <v>74</v>
      </c>
      <c r="S2" s="28" t="s">
        <v>16</v>
      </c>
      <c r="T2" s="28" t="s">
        <v>76</v>
      </c>
      <c r="U2" s="28" t="s">
        <v>77</v>
      </c>
      <c r="V2" s="44"/>
      <c r="W2" s="44"/>
      <c r="X2" s="44"/>
    </row>
    <row r="3" spans="1:24" x14ac:dyDescent="0.3">
      <c r="A3" s="24" t="s">
        <v>6</v>
      </c>
      <c r="B3" s="45" t="s">
        <v>7</v>
      </c>
      <c r="C3" s="25" t="s">
        <v>1</v>
      </c>
      <c r="D3" s="25">
        <v>5</v>
      </c>
      <c r="E3" s="25">
        <v>2.8</v>
      </c>
      <c r="F3" s="25">
        <f t="shared" ref="F3:F43" si="0">D3*E3</f>
        <v>14</v>
      </c>
      <c r="G3" s="25">
        <f>F4</f>
        <v>4.4799999999999995</v>
      </c>
      <c r="H3" s="3">
        <f>F3-G3</f>
        <v>9.52</v>
      </c>
      <c r="I3" s="25">
        <v>0.6</v>
      </c>
      <c r="J3" s="25">
        <v>20</v>
      </c>
      <c r="K3" s="25">
        <v>5</v>
      </c>
      <c r="L3" s="3">
        <f>H3*I3*(J3-K3)</f>
        <v>85.679999999999993</v>
      </c>
      <c r="M3" s="29">
        <f>SUM(L3:L8)</f>
        <v>794.66000000000008</v>
      </c>
      <c r="N3" s="45">
        <v>1.5</v>
      </c>
      <c r="O3" s="45">
        <f>5*2.5*2.8</f>
        <v>35</v>
      </c>
      <c r="P3" s="45">
        <f>J3</f>
        <v>20</v>
      </c>
      <c r="Q3" s="45">
        <v>5</v>
      </c>
      <c r="R3" s="29">
        <f>N3*O3*1.2*0.28*(P3-Q3)</f>
        <v>264.60000000000002</v>
      </c>
      <c r="S3" s="48">
        <v>0.05</v>
      </c>
      <c r="T3" s="48">
        <v>0.1</v>
      </c>
      <c r="U3" s="48">
        <v>0</v>
      </c>
      <c r="V3" s="29">
        <f>(M3+R3)*(1+S3+T3+U3)</f>
        <v>1218.1490000000003</v>
      </c>
      <c r="W3" s="32">
        <f>SUM(V3:V50)</f>
        <v>5138.2749000000013</v>
      </c>
      <c r="X3" s="32">
        <f>W3/1000</f>
        <v>5.1382749000000016</v>
      </c>
    </row>
    <row r="4" spans="1:24" x14ac:dyDescent="0.3">
      <c r="A4" s="26"/>
      <c r="B4" s="46"/>
      <c r="C4" s="25" t="s">
        <v>11</v>
      </c>
      <c r="D4" s="25">
        <f>2*1.6</f>
        <v>3.2</v>
      </c>
      <c r="E4" s="25">
        <v>1.4</v>
      </c>
      <c r="F4" s="25">
        <f t="shared" si="0"/>
        <v>4.4799999999999995</v>
      </c>
      <c r="G4" s="25"/>
      <c r="H4" s="3">
        <f t="shared" ref="H4:H8" si="1">F4-G4</f>
        <v>4.4799999999999995</v>
      </c>
      <c r="I4" s="25">
        <v>4.9000000000000004</v>
      </c>
      <c r="J4" s="25">
        <f>J$3</f>
        <v>20</v>
      </c>
      <c r="K4" s="25">
        <v>5</v>
      </c>
      <c r="L4" s="3">
        <f t="shared" ref="L4:L8" si="2">H4*I4*(J4-K4)</f>
        <v>329.28</v>
      </c>
      <c r="M4" s="30"/>
      <c r="N4" s="46"/>
      <c r="O4" s="46"/>
      <c r="P4" s="46"/>
      <c r="Q4" s="46"/>
      <c r="R4" s="30"/>
      <c r="S4" s="49"/>
      <c r="T4" s="49"/>
      <c r="U4" s="49"/>
      <c r="V4" s="30"/>
      <c r="W4" s="33"/>
      <c r="X4" s="33"/>
    </row>
    <row r="5" spans="1:24" x14ac:dyDescent="0.3">
      <c r="A5" s="26"/>
      <c r="B5" s="46"/>
      <c r="C5" s="25" t="s">
        <v>2</v>
      </c>
      <c r="D5" s="25">
        <v>5</v>
      </c>
      <c r="E5" s="25">
        <v>2.5</v>
      </c>
      <c r="F5" s="25">
        <f t="shared" si="0"/>
        <v>12.5</v>
      </c>
      <c r="G5" s="25"/>
      <c r="H5" s="3">
        <f t="shared" si="1"/>
        <v>12.5</v>
      </c>
      <c r="I5" s="25">
        <v>0.9</v>
      </c>
      <c r="J5" s="25">
        <f t="shared" ref="J5:J12" si="3">J$3</f>
        <v>20</v>
      </c>
      <c r="K5" s="25">
        <v>5</v>
      </c>
      <c r="L5" s="3">
        <f t="shared" si="2"/>
        <v>168.75</v>
      </c>
      <c r="M5" s="30"/>
      <c r="N5" s="46"/>
      <c r="O5" s="46"/>
      <c r="P5" s="46"/>
      <c r="Q5" s="46"/>
      <c r="R5" s="30"/>
      <c r="S5" s="49"/>
      <c r="T5" s="49"/>
      <c r="U5" s="49"/>
      <c r="V5" s="30"/>
      <c r="W5" s="33"/>
      <c r="X5" s="33"/>
    </row>
    <row r="6" spans="1:24" x14ac:dyDescent="0.3">
      <c r="A6" s="26"/>
      <c r="B6" s="46"/>
      <c r="C6" s="25" t="s">
        <v>3</v>
      </c>
      <c r="D6" s="25">
        <v>5</v>
      </c>
      <c r="E6" s="25">
        <v>2.5</v>
      </c>
      <c r="F6" s="25">
        <f t="shared" si="0"/>
        <v>12.5</v>
      </c>
      <c r="G6" s="25"/>
      <c r="H6" s="3">
        <f t="shared" si="1"/>
        <v>12.5</v>
      </c>
      <c r="I6" s="25">
        <v>1.1499999999999999</v>
      </c>
      <c r="J6" s="25">
        <f t="shared" si="3"/>
        <v>20</v>
      </c>
      <c r="K6" s="25">
        <v>10</v>
      </c>
      <c r="L6" s="3">
        <f t="shared" si="2"/>
        <v>143.74999999999997</v>
      </c>
      <c r="M6" s="30"/>
      <c r="N6" s="46"/>
      <c r="O6" s="46"/>
      <c r="P6" s="46"/>
      <c r="Q6" s="46"/>
      <c r="R6" s="30"/>
      <c r="S6" s="49"/>
      <c r="T6" s="49"/>
      <c r="U6" s="49"/>
      <c r="V6" s="30"/>
      <c r="W6" s="33"/>
      <c r="X6" s="33"/>
    </row>
    <row r="7" spans="1:24" x14ac:dyDescent="0.3">
      <c r="A7" s="26"/>
      <c r="B7" s="46"/>
      <c r="C7" s="25" t="s">
        <v>12</v>
      </c>
      <c r="D7" s="25">
        <v>2.5</v>
      </c>
      <c r="E7" s="25">
        <v>2.8</v>
      </c>
      <c r="F7" s="25">
        <f t="shared" si="0"/>
        <v>7</v>
      </c>
      <c r="G7" s="25"/>
      <c r="H7" s="3">
        <f t="shared" si="1"/>
        <v>7</v>
      </c>
      <c r="I7" s="25">
        <v>0.8</v>
      </c>
      <c r="J7" s="25">
        <f t="shared" si="3"/>
        <v>20</v>
      </c>
      <c r="K7" s="25">
        <v>8</v>
      </c>
      <c r="L7" s="3">
        <f t="shared" si="2"/>
        <v>67.2</v>
      </c>
      <c r="M7" s="30"/>
      <c r="N7" s="46"/>
      <c r="O7" s="46"/>
      <c r="P7" s="46"/>
      <c r="Q7" s="46"/>
      <c r="R7" s="30"/>
      <c r="S7" s="49"/>
      <c r="T7" s="49"/>
      <c r="U7" s="49"/>
      <c r="V7" s="30"/>
      <c r="W7" s="33"/>
      <c r="X7" s="33"/>
    </row>
    <row r="8" spans="1:24" x14ac:dyDescent="0.3">
      <c r="A8" s="26"/>
      <c r="B8" s="47"/>
      <c r="C8" s="25"/>
      <c r="D8" s="25"/>
      <c r="E8" s="25"/>
      <c r="F8" s="25"/>
      <c r="G8" s="25"/>
      <c r="H8" s="3"/>
      <c r="I8" s="25"/>
      <c r="J8" s="25"/>
      <c r="K8" s="25"/>
      <c r="L8" s="3"/>
      <c r="M8" s="31"/>
      <c r="N8" s="47"/>
      <c r="O8" s="47"/>
      <c r="P8" s="47"/>
      <c r="Q8" s="47"/>
      <c r="R8" s="31"/>
      <c r="S8" s="50"/>
      <c r="T8" s="50"/>
      <c r="U8" s="50"/>
      <c r="V8" s="31"/>
      <c r="W8" s="33"/>
      <c r="X8" s="33"/>
    </row>
    <row r="9" spans="1:24" x14ac:dyDescent="0.3">
      <c r="A9" s="26"/>
      <c r="B9" s="45" t="s">
        <v>92</v>
      </c>
      <c r="C9" s="25" t="s">
        <v>1</v>
      </c>
      <c r="D9" s="25">
        <v>1.5</v>
      </c>
      <c r="E9" s="25">
        <v>2.8</v>
      </c>
      <c r="F9" s="25">
        <f t="shared" si="0"/>
        <v>4.1999999999999993</v>
      </c>
      <c r="G9" s="25">
        <f>F10</f>
        <v>1.6</v>
      </c>
      <c r="H9" s="3">
        <f>F9-G9</f>
        <v>2.5999999999999992</v>
      </c>
      <c r="I9" s="25">
        <v>0.6</v>
      </c>
      <c r="J9" s="25">
        <f t="shared" si="3"/>
        <v>20</v>
      </c>
      <c r="K9" s="25">
        <v>5</v>
      </c>
      <c r="L9" s="3">
        <f>H9*I9*(J9-K9)</f>
        <v>23.399999999999991</v>
      </c>
      <c r="M9" s="29">
        <f>SUM(L9:L14)</f>
        <v>186.75</v>
      </c>
      <c r="N9" s="45">
        <v>1</v>
      </c>
      <c r="O9" s="45">
        <f>1.5*2.5*2.8</f>
        <v>10.5</v>
      </c>
      <c r="P9" s="45">
        <f>J3</f>
        <v>20</v>
      </c>
      <c r="Q9" s="45">
        <v>5</v>
      </c>
      <c r="R9" s="29">
        <f>N9*O9*1.2*0.28*(P9-Q9)</f>
        <v>52.92</v>
      </c>
      <c r="S9" s="48">
        <v>0.05</v>
      </c>
      <c r="T9" s="48">
        <v>0.1</v>
      </c>
      <c r="U9" s="48">
        <v>0</v>
      </c>
      <c r="V9" s="29">
        <f>(M9+R9)*(1+S9+T9+U9)</f>
        <v>275.62050000000005</v>
      </c>
      <c r="W9" s="33"/>
      <c r="X9" s="33"/>
    </row>
    <row r="10" spans="1:24" x14ac:dyDescent="0.3">
      <c r="A10" s="26"/>
      <c r="B10" s="46"/>
      <c r="C10" s="25" t="s">
        <v>17</v>
      </c>
      <c r="D10" s="25">
        <v>0.8</v>
      </c>
      <c r="E10" s="25">
        <v>2</v>
      </c>
      <c r="F10" s="25">
        <f t="shared" si="0"/>
        <v>1.6</v>
      </c>
      <c r="G10" s="25"/>
      <c r="H10" s="3">
        <f t="shared" ref="H10:H14" si="4">F10-G10</f>
        <v>1.6</v>
      </c>
      <c r="I10" s="25">
        <v>2.9</v>
      </c>
      <c r="J10" s="25">
        <f t="shared" si="3"/>
        <v>20</v>
      </c>
      <c r="K10" s="25">
        <v>5</v>
      </c>
      <c r="L10" s="3">
        <f t="shared" ref="L10:L12" si="5">H10*I10*(J10-K10)</f>
        <v>69.599999999999994</v>
      </c>
      <c r="M10" s="30"/>
      <c r="N10" s="46"/>
      <c r="O10" s="46"/>
      <c r="P10" s="46"/>
      <c r="Q10" s="46"/>
      <c r="R10" s="30"/>
      <c r="S10" s="49"/>
      <c r="T10" s="49"/>
      <c r="U10" s="49"/>
      <c r="V10" s="30"/>
      <c r="W10" s="33"/>
      <c r="X10" s="33"/>
    </row>
    <row r="11" spans="1:24" x14ac:dyDescent="0.3">
      <c r="A11" s="26"/>
      <c r="B11" s="46"/>
      <c r="C11" s="25" t="s">
        <v>2</v>
      </c>
      <c r="D11" s="25">
        <v>1.5</v>
      </c>
      <c r="E11" s="25">
        <v>2.5</v>
      </c>
      <c r="F11" s="25">
        <f t="shared" si="0"/>
        <v>3.75</v>
      </c>
      <c r="G11" s="25"/>
      <c r="H11" s="3">
        <f t="shared" si="4"/>
        <v>3.75</v>
      </c>
      <c r="I11" s="25">
        <v>0.9</v>
      </c>
      <c r="J11" s="25">
        <f t="shared" si="3"/>
        <v>20</v>
      </c>
      <c r="K11" s="25">
        <v>5</v>
      </c>
      <c r="L11" s="3">
        <f t="shared" si="5"/>
        <v>50.625</v>
      </c>
      <c r="M11" s="30"/>
      <c r="N11" s="46"/>
      <c r="O11" s="46"/>
      <c r="P11" s="46"/>
      <c r="Q11" s="46"/>
      <c r="R11" s="30"/>
      <c r="S11" s="49"/>
      <c r="T11" s="49"/>
      <c r="U11" s="49"/>
      <c r="V11" s="30"/>
      <c r="W11" s="33"/>
      <c r="X11" s="33"/>
    </row>
    <row r="12" spans="1:24" x14ac:dyDescent="0.3">
      <c r="A12" s="26"/>
      <c r="B12" s="46"/>
      <c r="C12" s="25" t="s">
        <v>3</v>
      </c>
      <c r="D12" s="25">
        <v>1.5</v>
      </c>
      <c r="E12" s="25">
        <v>2.5</v>
      </c>
      <c r="F12" s="25">
        <f t="shared" si="0"/>
        <v>3.75</v>
      </c>
      <c r="G12" s="25"/>
      <c r="H12" s="3">
        <f t="shared" si="4"/>
        <v>3.75</v>
      </c>
      <c r="I12" s="25">
        <v>1.1499999999999999</v>
      </c>
      <c r="J12" s="25">
        <f t="shared" si="3"/>
        <v>20</v>
      </c>
      <c r="K12" s="25">
        <v>10</v>
      </c>
      <c r="L12" s="3">
        <f t="shared" si="5"/>
        <v>43.125</v>
      </c>
      <c r="M12" s="30"/>
      <c r="N12" s="46"/>
      <c r="O12" s="46"/>
      <c r="P12" s="46"/>
      <c r="Q12" s="46"/>
      <c r="R12" s="30"/>
      <c r="S12" s="49"/>
      <c r="T12" s="49"/>
      <c r="U12" s="49"/>
      <c r="V12" s="30"/>
      <c r="W12" s="33"/>
      <c r="X12" s="33"/>
    </row>
    <row r="13" spans="1:24" x14ac:dyDescent="0.3">
      <c r="A13" s="26"/>
      <c r="B13" s="46"/>
      <c r="C13" s="25"/>
      <c r="D13" s="25"/>
      <c r="E13" s="25"/>
      <c r="F13" s="25">
        <f t="shared" si="0"/>
        <v>0</v>
      </c>
      <c r="G13" s="25"/>
      <c r="H13" s="3">
        <f t="shared" si="4"/>
        <v>0</v>
      </c>
      <c r="I13" s="25"/>
      <c r="J13" s="25"/>
      <c r="K13" s="25"/>
      <c r="L13" s="3"/>
      <c r="M13" s="30"/>
      <c r="N13" s="46"/>
      <c r="O13" s="46"/>
      <c r="P13" s="46"/>
      <c r="Q13" s="46"/>
      <c r="R13" s="30"/>
      <c r="S13" s="49"/>
      <c r="T13" s="49"/>
      <c r="U13" s="49"/>
      <c r="V13" s="30"/>
      <c r="W13" s="33"/>
      <c r="X13" s="33"/>
    </row>
    <row r="14" spans="1:24" x14ac:dyDescent="0.3">
      <c r="A14" s="26"/>
      <c r="B14" s="47"/>
      <c r="C14" s="25"/>
      <c r="D14" s="25"/>
      <c r="E14" s="25"/>
      <c r="F14" s="25">
        <f t="shared" si="0"/>
        <v>0</v>
      </c>
      <c r="G14" s="25"/>
      <c r="H14" s="3">
        <f t="shared" si="4"/>
        <v>0</v>
      </c>
      <c r="I14" s="25"/>
      <c r="J14" s="25"/>
      <c r="K14" s="25"/>
      <c r="L14" s="3"/>
      <c r="M14" s="31"/>
      <c r="N14" s="47"/>
      <c r="O14" s="47"/>
      <c r="P14" s="47"/>
      <c r="Q14" s="47"/>
      <c r="R14" s="31"/>
      <c r="S14" s="50"/>
      <c r="T14" s="50"/>
      <c r="U14" s="50"/>
      <c r="V14" s="31"/>
      <c r="W14" s="33"/>
      <c r="X14" s="33"/>
    </row>
    <row r="15" spans="1:24" x14ac:dyDescent="0.3">
      <c r="A15" s="26"/>
      <c r="B15" s="45" t="s">
        <v>89</v>
      </c>
      <c r="C15" s="25" t="s">
        <v>1</v>
      </c>
      <c r="D15" s="25">
        <v>3</v>
      </c>
      <c r="E15" s="25">
        <v>2.8</v>
      </c>
      <c r="F15" s="25">
        <f t="shared" si="0"/>
        <v>8.3999999999999986</v>
      </c>
      <c r="G15" s="25">
        <f>F16</f>
        <v>2.2399999999999998</v>
      </c>
      <c r="H15" s="3">
        <f>F15-G15</f>
        <v>6.1599999999999984</v>
      </c>
      <c r="I15" s="25">
        <v>0.6</v>
      </c>
      <c r="J15" s="25">
        <f t="shared" ref="J15:J47" si="6">J$3</f>
        <v>20</v>
      </c>
      <c r="K15" s="25">
        <v>5</v>
      </c>
      <c r="L15" s="3">
        <f>H15*I15*(J15-K15)</f>
        <v>55.439999999999984</v>
      </c>
      <c r="M15" s="29">
        <f>SUM(L15:L20)</f>
        <v>474.78</v>
      </c>
      <c r="N15" s="45">
        <v>1</v>
      </c>
      <c r="O15" s="45">
        <f>3*2.5*2.8</f>
        <v>21</v>
      </c>
      <c r="P15" s="45">
        <f>J3</f>
        <v>20</v>
      </c>
      <c r="Q15" s="45">
        <v>5</v>
      </c>
      <c r="R15" s="29">
        <f>N15*O15*1.2*0.28*(P15-Q15)</f>
        <v>105.84</v>
      </c>
      <c r="S15" s="48">
        <v>0.05</v>
      </c>
      <c r="T15" s="48">
        <v>0.1</v>
      </c>
      <c r="U15" s="48">
        <v>0</v>
      </c>
      <c r="V15" s="29">
        <f>(M15+R15)*(1+S15+T15+U15)</f>
        <v>667.71300000000008</v>
      </c>
      <c r="W15" s="33"/>
      <c r="X15" s="33"/>
    </row>
    <row r="16" spans="1:24" x14ac:dyDescent="0.3">
      <c r="A16" s="26"/>
      <c r="B16" s="46"/>
      <c r="C16" s="25" t="s">
        <v>11</v>
      </c>
      <c r="D16" s="25">
        <v>1.6</v>
      </c>
      <c r="E16" s="25">
        <v>1.4</v>
      </c>
      <c r="F16" s="25">
        <f t="shared" si="0"/>
        <v>2.2399999999999998</v>
      </c>
      <c r="G16" s="25"/>
      <c r="H16" s="3">
        <f t="shared" ref="H16:H19" si="7">F16-G16</f>
        <v>2.2399999999999998</v>
      </c>
      <c r="I16" s="25">
        <v>4.9000000000000004</v>
      </c>
      <c r="J16" s="25">
        <f t="shared" si="6"/>
        <v>20</v>
      </c>
      <c r="K16" s="25">
        <v>5</v>
      </c>
      <c r="L16" s="3">
        <f t="shared" ref="L16:L19" si="8">H16*I16*(J16-K16)</f>
        <v>164.64</v>
      </c>
      <c r="M16" s="30"/>
      <c r="N16" s="46"/>
      <c r="O16" s="46"/>
      <c r="P16" s="46"/>
      <c r="Q16" s="46"/>
      <c r="R16" s="30"/>
      <c r="S16" s="49"/>
      <c r="T16" s="49"/>
      <c r="U16" s="49"/>
      <c r="V16" s="30"/>
      <c r="W16" s="33"/>
      <c r="X16" s="33"/>
    </row>
    <row r="17" spans="1:24" x14ac:dyDescent="0.3">
      <c r="A17" s="26"/>
      <c r="B17" s="46"/>
      <c r="C17" s="25" t="s">
        <v>2</v>
      </c>
      <c r="D17" s="25">
        <v>3</v>
      </c>
      <c r="E17" s="25">
        <v>2.5</v>
      </c>
      <c r="F17" s="25">
        <f t="shared" si="0"/>
        <v>7.5</v>
      </c>
      <c r="G17" s="25"/>
      <c r="H17" s="3">
        <f t="shared" si="7"/>
        <v>7.5</v>
      </c>
      <c r="I17" s="25">
        <v>0.9</v>
      </c>
      <c r="J17" s="25">
        <f t="shared" si="6"/>
        <v>20</v>
      </c>
      <c r="K17" s="25">
        <v>5</v>
      </c>
      <c r="L17" s="3">
        <f t="shared" si="8"/>
        <v>101.25</v>
      </c>
      <c r="M17" s="30"/>
      <c r="N17" s="46"/>
      <c r="O17" s="46"/>
      <c r="P17" s="46"/>
      <c r="Q17" s="46"/>
      <c r="R17" s="30"/>
      <c r="S17" s="49"/>
      <c r="T17" s="49"/>
      <c r="U17" s="49"/>
      <c r="V17" s="30"/>
      <c r="W17" s="33"/>
      <c r="X17" s="33"/>
    </row>
    <row r="18" spans="1:24" x14ac:dyDescent="0.3">
      <c r="A18" s="26"/>
      <c r="B18" s="46"/>
      <c r="C18" s="25" t="s">
        <v>3</v>
      </c>
      <c r="D18" s="25">
        <v>3</v>
      </c>
      <c r="E18" s="25">
        <v>2.5</v>
      </c>
      <c r="F18" s="25">
        <f t="shared" si="0"/>
        <v>7.5</v>
      </c>
      <c r="G18" s="25"/>
      <c r="H18" s="3">
        <f t="shared" si="7"/>
        <v>7.5</v>
      </c>
      <c r="I18" s="25">
        <v>1.1499999999999999</v>
      </c>
      <c r="J18" s="25">
        <f t="shared" si="6"/>
        <v>20</v>
      </c>
      <c r="K18" s="25">
        <v>10</v>
      </c>
      <c r="L18" s="3">
        <f t="shared" si="8"/>
        <v>86.25</v>
      </c>
      <c r="M18" s="30"/>
      <c r="N18" s="46"/>
      <c r="O18" s="46"/>
      <c r="P18" s="46"/>
      <c r="Q18" s="46"/>
      <c r="R18" s="30"/>
      <c r="S18" s="49"/>
      <c r="T18" s="49"/>
      <c r="U18" s="49"/>
      <c r="V18" s="30"/>
      <c r="W18" s="33"/>
      <c r="X18" s="33"/>
    </row>
    <row r="19" spans="1:24" x14ac:dyDescent="0.3">
      <c r="A19" s="26"/>
      <c r="B19" s="46"/>
      <c r="C19" s="25" t="s">
        <v>12</v>
      </c>
      <c r="D19" s="25">
        <v>2.5</v>
      </c>
      <c r="E19" s="25">
        <v>2.8</v>
      </c>
      <c r="F19" s="25">
        <f t="shared" si="0"/>
        <v>7</v>
      </c>
      <c r="G19" s="25"/>
      <c r="H19" s="3">
        <f t="shared" si="7"/>
        <v>7</v>
      </c>
      <c r="I19" s="25">
        <v>0.8</v>
      </c>
      <c r="J19" s="25">
        <f t="shared" si="6"/>
        <v>20</v>
      </c>
      <c r="K19" s="25">
        <v>8</v>
      </c>
      <c r="L19" s="3">
        <f t="shared" si="8"/>
        <v>67.2</v>
      </c>
      <c r="M19" s="30"/>
      <c r="N19" s="46"/>
      <c r="O19" s="46"/>
      <c r="P19" s="46"/>
      <c r="Q19" s="46"/>
      <c r="R19" s="30"/>
      <c r="S19" s="49"/>
      <c r="T19" s="49"/>
      <c r="U19" s="49"/>
      <c r="V19" s="30"/>
      <c r="W19" s="33"/>
      <c r="X19" s="33"/>
    </row>
    <row r="20" spans="1:24" x14ac:dyDescent="0.3">
      <c r="A20" s="26"/>
      <c r="B20" s="47"/>
      <c r="C20" s="25"/>
      <c r="D20" s="25"/>
      <c r="E20" s="25"/>
      <c r="F20" s="25"/>
      <c r="G20" s="25"/>
      <c r="H20" s="3"/>
      <c r="I20" s="25"/>
      <c r="J20" s="25"/>
      <c r="K20" s="25"/>
      <c r="L20" s="3"/>
      <c r="M20" s="31"/>
      <c r="N20" s="47"/>
      <c r="O20" s="47"/>
      <c r="P20" s="47"/>
      <c r="Q20" s="47"/>
      <c r="R20" s="31"/>
      <c r="S20" s="50"/>
      <c r="T20" s="50"/>
      <c r="U20" s="50"/>
      <c r="V20" s="31"/>
      <c r="W20" s="33"/>
      <c r="X20" s="33"/>
    </row>
    <row r="21" spans="1:24" x14ac:dyDescent="0.3">
      <c r="A21" s="26"/>
      <c r="B21" s="45" t="s">
        <v>96</v>
      </c>
      <c r="C21" s="25" t="s">
        <v>1</v>
      </c>
      <c r="D21" s="25">
        <v>1.5</v>
      </c>
      <c r="E21" s="25">
        <v>2.8</v>
      </c>
      <c r="F21" s="25">
        <f t="shared" si="0"/>
        <v>4.1999999999999993</v>
      </c>
      <c r="G21" s="25">
        <f>F22</f>
        <v>2.2399999999999998</v>
      </c>
      <c r="H21" s="3">
        <f>F21-G21</f>
        <v>1.9599999999999995</v>
      </c>
      <c r="I21" s="25">
        <v>0.6</v>
      </c>
      <c r="J21" s="25">
        <f t="shared" si="6"/>
        <v>20</v>
      </c>
      <c r="K21" s="25">
        <v>5</v>
      </c>
      <c r="L21" s="3">
        <f>H21*I21*(J21-K21)</f>
        <v>17.639999999999997</v>
      </c>
      <c r="M21" s="29">
        <f>SUM(L21:L26)</f>
        <v>439.79999999999995</v>
      </c>
      <c r="N21" s="45">
        <v>2</v>
      </c>
      <c r="O21" s="45">
        <f>4*1.5*2.8</f>
        <v>16.799999999999997</v>
      </c>
      <c r="P21" s="45">
        <f>J3</f>
        <v>20</v>
      </c>
      <c r="Q21" s="45">
        <v>5</v>
      </c>
      <c r="R21" s="29">
        <f>N21*O21*1.2*0.28*(P21-Q21)</f>
        <v>169.34399999999997</v>
      </c>
      <c r="S21" s="48">
        <v>0.05</v>
      </c>
      <c r="T21" s="48">
        <v>0.1</v>
      </c>
      <c r="U21" s="48">
        <v>0</v>
      </c>
      <c r="V21" s="29">
        <f>(M21+R21)*(1+S21+T21+U21)</f>
        <v>700.51559999999995</v>
      </c>
      <c r="W21" s="33"/>
      <c r="X21" s="33"/>
    </row>
    <row r="22" spans="1:24" x14ac:dyDescent="0.3">
      <c r="A22" s="26"/>
      <c r="B22" s="46"/>
      <c r="C22" s="25" t="s">
        <v>11</v>
      </c>
      <c r="D22" s="25">
        <v>1.6</v>
      </c>
      <c r="E22" s="25">
        <v>1.4</v>
      </c>
      <c r="F22" s="25">
        <f t="shared" si="0"/>
        <v>2.2399999999999998</v>
      </c>
      <c r="G22" s="25"/>
      <c r="H22" s="3">
        <f t="shared" ref="H22:H25" si="9">F22-G22</f>
        <v>2.2399999999999998</v>
      </c>
      <c r="I22" s="25">
        <v>4.9000000000000004</v>
      </c>
      <c r="J22" s="25">
        <f t="shared" si="6"/>
        <v>20</v>
      </c>
      <c r="K22" s="25">
        <v>5</v>
      </c>
      <c r="L22" s="3">
        <f t="shared" ref="L22:L25" si="10">H22*I22*(J22-K22)</f>
        <v>164.64</v>
      </c>
      <c r="M22" s="30"/>
      <c r="N22" s="46"/>
      <c r="O22" s="46"/>
      <c r="P22" s="46"/>
      <c r="Q22" s="46"/>
      <c r="R22" s="30"/>
      <c r="S22" s="49"/>
      <c r="T22" s="49"/>
      <c r="U22" s="49"/>
      <c r="V22" s="30"/>
      <c r="W22" s="33"/>
      <c r="X22" s="33"/>
    </row>
    <row r="23" spans="1:24" x14ac:dyDescent="0.3">
      <c r="A23" s="26"/>
      <c r="B23" s="46"/>
      <c r="C23" s="25" t="s">
        <v>2</v>
      </c>
      <c r="D23" s="25">
        <v>4</v>
      </c>
      <c r="E23" s="25">
        <v>1.5</v>
      </c>
      <c r="F23" s="25">
        <f t="shared" si="0"/>
        <v>6</v>
      </c>
      <c r="G23" s="25"/>
      <c r="H23" s="3">
        <f t="shared" si="9"/>
        <v>6</v>
      </c>
      <c r="I23" s="25">
        <v>0.9</v>
      </c>
      <c r="J23" s="25">
        <f t="shared" si="6"/>
        <v>20</v>
      </c>
      <c r="K23" s="25">
        <v>5</v>
      </c>
      <c r="L23" s="3">
        <f t="shared" si="10"/>
        <v>81</v>
      </c>
      <c r="M23" s="30"/>
      <c r="N23" s="46"/>
      <c r="O23" s="46"/>
      <c r="P23" s="46"/>
      <c r="Q23" s="46"/>
      <c r="R23" s="30"/>
      <c r="S23" s="49"/>
      <c r="T23" s="49"/>
      <c r="U23" s="49"/>
      <c r="V23" s="30"/>
      <c r="W23" s="33"/>
      <c r="X23" s="33"/>
    </row>
    <row r="24" spans="1:24" x14ac:dyDescent="0.3">
      <c r="A24" s="26"/>
      <c r="B24" s="46"/>
      <c r="C24" s="25" t="s">
        <v>3</v>
      </c>
      <c r="D24" s="25">
        <v>4</v>
      </c>
      <c r="E24" s="25">
        <v>1.5</v>
      </c>
      <c r="F24" s="25">
        <f t="shared" si="0"/>
        <v>6</v>
      </c>
      <c r="G24" s="25"/>
      <c r="H24" s="3">
        <f t="shared" si="9"/>
        <v>6</v>
      </c>
      <c r="I24" s="25">
        <v>1.1499999999999999</v>
      </c>
      <c r="J24" s="25">
        <f t="shared" si="6"/>
        <v>20</v>
      </c>
      <c r="K24" s="25">
        <v>10</v>
      </c>
      <c r="L24" s="3">
        <f t="shared" si="10"/>
        <v>69</v>
      </c>
      <c r="M24" s="30"/>
      <c r="N24" s="46"/>
      <c r="O24" s="46"/>
      <c r="P24" s="46"/>
      <c r="Q24" s="46"/>
      <c r="R24" s="30"/>
      <c r="S24" s="49"/>
      <c r="T24" s="49"/>
      <c r="U24" s="49"/>
      <c r="V24" s="30"/>
      <c r="W24" s="33"/>
      <c r="X24" s="33"/>
    </row>
    <row r="25" spans="1:24" x14ac:dyDescent="0.3">
      <c r="A25" s="26"/>
      <c r="B25" s="46"/>
      <c r="C25" s="25" t="s">
        <v>12</v>
      </c>
      <c r="D25" s="25">
        <v>4</v>
      </c>
      <c r="E25" s="25">
        <v>2.8</v>
      </c>
      <c r="F25" s="25">
        <f t="shared" si="0"/>
        <v>11.2</v>
      </c>
      <c r="G25" s="25"/>
      <c r="H25" s="3">
        <f t="shared" si="9"/>
        <v>11.2</v>
      </c>
      <c r="I25" s="25">
        <v>0.8</v>
      </c>
      <c r="J25" s="25">
        <f t="shared" si="6"/>
        <v>20</v>
      </c>
      <c r="K25" s="25">
        <v>8</v>
      </c>
      <c r="L25" s="3">
        <f t="shared" si="10"/>
        <v>107.51999999999998</v>
      </c>
      <c r="M25" s="30"/>
      <c r="N25" s="46"/>
      <c r="O25" s="46"/>
      <c r="P25" s="46"/>
      <c r="Q25" s="46"/>
      <c r="R25" s="30"/>
      <c r="S25" s="49"/>
      <c r="T25" s="49"/>
      <c r="U25" s="49"/>
      <c r="V25" s="30"/>
      <c r="W25" s="33"/>
      <c r="X25" s="33"/>
    </row>
    <row r="26" spans="1:24" x14ac:dyDescent="0.3">
      <c r="A26" s="26"/>
      <c r="B26" s="47"/>
      <c r="C26" s="25"/>
      <c r="D26" s="25"/>
      <c r="E26" s="25"/>
      <c r="F26" s="25"/>
      <c r="G26" s="25"/>
      <c r="H26" s="3"/>
      <c r="I26" s="25"/>
      <c r="J26" s="25"/>
      <c r="K26" s="25"/>
      <c r="L26" s="3"/>
      <c r="M26" s="31"/>
      <c r="N26" s="47"/>
      <c r="O26" s="47"/>
      <c r="P26" s="47"/>
      <c r="Q26" s="47"/>
      <c r="R26" s="31"/>
      <c r="S26" s="50"/>
      <c r="T26" s="50"/>
      <c r="U26" s="50"/>
      <c r="V26" s="31"/>
      <c r="W26" s="33"/>
      <c r="X26" s="33"/>
    </row>
    <row r="27" spans="1:24" x14ac:dyDescent="0.3">
      <c r="A27" s="26"/>
      <c r="B27" s="45" t="s">
        <v>91</v>
      </c>
      <c r="C27" s="25" t="s">
        <v>1</v>
      </c>
      <c r="D27" s="25">
        <v>1.5</v>
      </c>
      <c r="E27" s="25">
        <v>2.8</v>
      </c>
      <c r="F27" s="25">
        <f t="shared" si="0"/>
        <v>4.1999999999999993</v>
      </c>
      <c r="G27" s="25">
        <f>F28</f>
        <v>2.2399999999999998</v>
      </c>
      <c r="H27" s="3">
        <f>F27-G27</f>
        <v>1.9599999999999995</v>
      </c>
      <c r="I27" s="25">
        <v>0.6</v>
      </c>
      <c r="J27" s="25">
        <f t="shared" si="6"/>
        <v>20</v>
      </c>
      <c r="K27" s="25">
        <v>5</v>
      </c>
      <c r="L27" s="3">
        <f>H27*I27*(J27-K27)</f>
        <v>17.639999999999997</v>
      </c>
      <c r="M27" s="29">
        <f>SUM(L27:L32)</f>
        <v>294.77999999999997</v>
      </c>
      <c r="N27" s="45">
        <v>1</v>
      </c>
      <c r="O27" s="45">
        <f>3*1.5*2.8</f>
        <v>12.6</v>
      </c>
      <c r="P27" s="45">
        <f>J3</f>
        <v>20</v>
      </c>
      <c r="Q27" s="45">
        <v>5</v>
      </c>
      <c r="R27" s="29">
        <f>N27*O27*1.2*0.28*(P27-Q27)</f>
        <v>63.503999999999998</v>
      </c>
      <c r="S27" s="48">
        <v>0.05</v>
      </c>
      <c r="T27" s="48">
        <v>0.1</v>
      </c>
      <c r="U27" s="48">
        <v>0</v>
      </c>
      <c r="V27" s="29">
        <f>(M27+R27)*(1+S27+T27+U27)</f>
        <v>412.02660000000003</v>
      </c>
      <c r="W27" s="33"/>
      <c r="X27" s="33"/>
    </row>
    <row r="28" spans="1:24" x14ac:dyDescent="0.3">
      <c r="A28" s="26"/>
      <c r="B28" s="46"/>
      <c r="C28" s="25" t="s">
        <v>11</v>
      </c>
      <c r="D28" s="25">
        <v>1.6</v>
      </c>
      <c r="E28" s="25">
        <v>1.4</v>
      </c>
      <c r="F28" s="25">
        <f t="shared" si="0"/>
        <v>2.2399999999999998</v>
      </c>
      <c r="G28" s="25"/>
      <c r="H28" s="3">
        <f t="shared" ref="H28:H30" si="11">F28-G28</f>
        <v>2.2399999999999998</v>
      </c>
      <c r="I28" s="25">
        <v>4.9000000000000004</v>
      </c>
      <c r="J28" s="25">
        <f t="shared" si="6"/>
        <v>20</v>
      </c>
      <c r="K28" s="25">
        <v>5</v>
      </c>
      <c r="L28" s="3">
        <f t="shared" ref="L28:L30" si="12">H28*I28*(J28-K28)</f>
        <v>164.64</v>
      </c>
      <c r="M28" s="30"/>
      <c r="N28" s="46"/>
      <c r="O28" s="46"/>
      <c r="P28" s="46"/>
      <c r="Q28" s="46"/>
      <c r="R28" s="30"/>
      <c r="S28" s="49"/>
      <c r="T28" s="49"/>
      <c r="U28" s="49"/>
      <c r="V28" s="30"/>
      <c r="W28" s="33"/>
      <c r="X28" s="33"/>
    </row>
    <row r="29" spans="1:24" x14ac:dyDescent="0.3">
      <c r="A29" s="26"/>
      <c r="B29" s="46"/>
      <c r="C29" s="25" t="s">
        <v>2</v>
      </c>
      <c r="D29" s="25">
        <v>3</v>
      </c>
      <c r="E29" s="25">
        <v>1.5</v>
      </c>
      <c r="F29" s="25">
        <f t="shared" si="0"/>
        <v>4.5</v>
      </c>
      <c r="G29" s="25"/>
      <c r="H29" s="3">
        <f t="shared" si="11"/>
        <v>4.5</v>
      </c>
      <c r="I29" s="25">
        <v>0.9</v>
      </c>
      <c r="J29" s="25">
        <f t="shared" si="6"/>
        <v>20</v>
      </c>
      <c r="K29" s="25">
        <v>5</v>
      </c>
      <c r="L29" s="3">
        <f t="shared" si="12"/>
        <v>60.75</v>
      </c>
      <c r="M29" s="30"/>
      <c r="N29" s="46"/>
      <c r="O29" s="46"/>
      <c r="P29" s="46"/>
      <c r="Q29" s="46"/>
      <c r="R29" s="30"/>
      <c r="S29" s="49"/>
      <c r="T29" s="49"/>
      <c r="U29" s="49"/>
      <c r="V29" s="30"/>
      <c r="W29" s="33"/>
      <c r="X29" s="33"/>
    </row>
    <row r="30" spans="1:24" x14ac:dyDescent="0.3">
      <c r="A30" s="26"/>
      <c r="B30" s="46"/>
      <c r="C30" s="25" t="s">
        <v>3</v>
      </c>
      <c r="D30" s="25">
        <v>3</v>
      </c>
      <c r="E30" s="25">
        <v>1.5</v>
      </c>
      <c r="F30" s="25">
        <f t="shared" si="0"/>
        <v>4.5</v>
      </c>
      <c r="G30" s="25"/>
      <c r="H30" s="3">
        <f t="shared" si="11"/>
        <v>4.5</v>
      </c>
      <c r="I30" s="25">
        <v>1.1499999999999999</v>
      </c>
      <c r="J30" s="25">
        <f t="shared" si="6"/>
        <v>20</v>
      </c>
      <c r="K30" s="25">
        <v>10</v>
      </c>
      <c r="L30" s="3">
        <f t="shared" si="12"/>
        <v>51.75</v>
      </c>
      <c r="M30" s="30"/>
      <c r="N30" s="46"/>
      <c r="O30" s="46"/>
      <c r="P30" s="46"/>
      <c r="Q30" s="46"/>
      <c r="R30" s="30"/>
      <c r="S30" s="49"/>
      <c r="T30" s="49"/>
      <c r="U30" s="49"/>
      <c r="V30" s="30"/>
      <c r="W30" s="33"/>
      <c r="X30" s="33"/>
    </row>
    <row r="31" spans="1:24" x14ac:dyDescent="0.3">
      <c r="A31" s="26"/>
      <c r="B31" s="46"/>
      <c r="C31" s="25"/>
      <c r="D31" s="25"/>
      <c r="E31" s="25"/>
      <c r="F31" s="25"/>
      <c r="G31" s="25"/>
      <c r="H31" s="3"/>
      <c r="I31" s="25"/>
      <c r="J31" s="25"/>
      <c r="K31" s="25"/>
      <c r="L31" s="3"/>
      <c r="M31" s="30"/>
      <c r="N31" s="46"/>
      <c r="O31" s="46"/>
      <c r="P31" s="46"/>
      <c r="Q31" s="46"/>
      <c r="R31" s="30"/>
      <c r="S31" s="49"/>
      <c r="T31" s="49"/>
      <c r="U31" s="49"/>
      <c r="V31" s="30"/>
      <c r="W31" s="33"/>
      <c r="X31" s="33"/>
    </row>
    <row r="32" spans="1:24" x14ac:dyDescent="0.3">
      <c r="A32" s="26"/>
      <c r="B32" s="47"/>
      <c r="C32" s="25"/>
      <c r="D32" s="25"/>
      <c r="E32" s="25"/>
      <c r="F32" s="25"/>
      <c r="G32" s="25"/>
      <c r="H32" s="3"/>
      <c r="I32" s="25"/>
      <c r="J32" s="25"/>
      <c r="K32" s="25"/>
      <c r="L32" s="3"/>
      <c r="M32" s="31"/>
      <c r="N32" s="47"/>
      <c r="O32" s="47"/>
      <c r="P32" s="47"/>
      <c r="Q32" s="47"/>
      <c r="R32" s="31"/>
      <c r="S32" s="50"/>
      <c r="T32" s="50"/>
      <c r="U32" s="50"/>
      <c r="V32" s="31"/>
      <c r="W32" s="33"/>
      <c r="X32" s="33"/>
    </row>
    <row r="33" spans="1:24" x14ac:dyDescent="0.3">
      <c r="A33" s="26"/>
      <c r="B33" s="45" t="s">
        <v>93</v>
      </c>
      <c r="C33" s="25" t="s">
        <v>1</v>
      </c>
      <c r="D33" s="25">
        <v>3</v>
      </c>
      <c r="E33" s="25">
        <v>2.8</v>
      </c>
      <c r="F33" s="25">
        <f t="shared" si="0"/>
        <v>8.3999999999999986</v>
      </c>
      <c r="G33" s="25">
        <f>F34</f>
        <v>2.2399999999999998</v>
      </c>
      <c r="H33" s="3">
        <f>F33-G33</f>
        <v>6.1599999999999984</v>
      </c>
      <c r="I33" s="25">
        <v>0.6</v>
      </c>
      <c r="J33" s="25">
        <f t="shared" si="6"/>
        <v>20</v>
      </c>
      <c r="K33" s="25">
        <v>5</v>
      </c>
      <c r="L33" s="3">
        <f>H33*I33*(J33-K33)</f>
        <v>55.439999999999984</v>
      </c>
      <c r="M33" s="29">
        <f>SUM(L33:L38)</f>
        <v>445.08</v>
      </c>
      <c r="N33" s="45">
        <v>1</v>
      </c>
      <c r="O33" s="45">
        <f>3*3*2.8</f>
        <v>25.2</v>
      </c>
      <c r="P33" s="45">
        <f>J3</f>
        <v>20</v>
      </c>
      <c r="Q33" s="45">
        <v>5</v>
      </c>
      <c r="R33" s="29">
        <f>N33*O33*1.2*0.28*(P33-Q33)</f>
        <v>127.008</v>
      </c>
      <c r="S33" s="48">
        <v>0.05</v>
      </c>
      <c r="T33" s="48">
        <v>0.1</v>
      </c>
      <c r="U33" s="48">
        <v>0</v>
      </c>
      <c r="V33" s="29">
        <f>(M33+R33)*(1+S33+T33+U33)</f>
        <v>657.90120000000002</v>
      </c>
      <c r="W33" s="33"/>
      <c r="X33" s="33"/>
    </row>
    <row r="34" spans="1:24" x14ac:dyDescent="0.3">
      <c r="A34" s="26"/>
      <c r="B34" s="46"/>
      <c r="C34" s="25" t="s">
        <v>11</v>
      </c>
      <c r="D34" s="25">
        <v>1.6</v>
      </c>
      <c r="E34" s="25">
        <v>1.4</v>
      </c>
      <c r="F34" s="25">
        <f t="shared" si="0"/>
        <v>2.2399999999999998</v>
      </c>
      <c r="G34" s="25"/>
      <c r="H34" s="3">
        <f t="shared" ref="H34:H36" si="13">F34-G34</f>
        <v>2.2399999999999998</v>
      </c>
      <c r="I34" s="25">
        <v>4.9000000000000004</v>
      </c>
      <c r="J34" s="25">
        <f t="shared" si="6"/>
        <v>20</v>
      </c>
      <c r="K34" s="25">
        <v>5</v>
      </c>
      <c r="L34" s="3">
        <f t="shared" ref="L34:L36" si="14">H34*I34*(J34-K34)</f>
        <v>164.64</v>
      </c>
      <c r="M34" s="30"/>
      <c r="N34" s="46"/>
      <c r="O34" s="46"/>
      <c r="P34" s="46"/>
      <c r="Q34" s="46"/>
      <c r="R34" s="30"/>
      <c r="S34" s="49"/>
      <c r="T34" s="49"/>
      <c r="U34" s="49"/>
      <c r="V34" s="30"/>
      <c r="W34" s="33"/>
      <c r="X34" s="33"/>
    </row>
    <row r="35" spans="1:24" x14ac:dyDescent="0.3">
      <c r="A35" s="26"/>
      <c r="B35" s="46"/>
      <c r="C35" s="25" t="s">
        <v>2</v>
      </c>
      <c r="D35" s="25">
        <v>3</v>
      </c>
      <c r="E35" s="25">
        <v>3</v>
      </c>
      <c r="F35" s="25">
        <f t="shared" si="0"/>
        <v>9</v>
      </c>
      <c r="G35" s="25"/>
      <c r="H35" s="3">
        <f t="shared" si="13"/>
        <v>9</v>
      </c>
      <c r="I35" s="25">
        <v>0.9</v>
      </c>
      <c r="J35" s="25">
        <f t="shared" si="6"/>
        <v>20</v>
      </c>
      <c r="K35" s="25">
        <v>5</v>
      </c>
      <c r="L35" s="3">
        <f t="shared" si="14"/>
        <v>121.5</v>
      </c>
      <c r="M35" s="30"/>
      <c r="N35" s="46"/>
      <c r="O35" s="46"/>
      <c r="P35" s="46"/>
      <c r="Q35" s="46"/>
      <c r="R35" s="30"/>
      <c r="S35" s="49"/>
      <c r="T35" s="49"/>
      <c r="U35" s="49"/>
      <c r="V35" s="30"/>
      <c r="W35" s="33"/>
      <c r="X35" s="33"/>
    </row>
    <row r="36" spans="1:24" x14ac:dyDescent="0.3">
      <c r="A36" s="26"/>
      <c r="B36" s="46"/>
      <c r="C36" s="25" t="s">
        <v>3</v>
      </c>
      <c r="D36" s="25">
        <v>3</v>
      </c>
      <c r="E36" s="25">
        <v>3</v>
      </c>
      <c r="F36" s="25">
        <f t="shared" si="0"/>
        <v>9</v>
      </c>
      <c r="G36" s="25"/>
      <c r="H36" s="3">
        <f t="shared" si="13"/>
        <v>9</v>
      </c>
      <c r="I36" s="25">
        <v>1.1499999999999999</v>
      </c>
      <c r="J36" s="25">
        <f t="shared" si="6"/>
        <v>20</v>
      </c>
      <c r="K36" s="25">
        <v>10</v>
      </c>
      <c r="L36" s="3">
        <f t="shared" si="14"/>
        <v>103.5</v>
      </c>
      <c r="M36" s="30"/>
      <c r="N36" s="46"/>
      <c r="O36" s="46"/>
      <c r="P36" s="46"/>
      <c r="Q36" s="46"/>
      <c r="R36" s="30"/>
      <c r="S36" s="49"/>
      <c r="T36" s="49"/>
      <c r="U36" s="49"/>
      <c r="V36" s="30"/>
      <c r="W36" s="33"/>
      <c r="X36" s="33"/>
    </row>
    <row r="37" spans="1:24" x14ac:dyDescent="0.3">
      <c r="A37" s="26"/>
      <c r="B37" s="46"/>
      <c r="C37" s="25"/>
      <c r="D37" s="25"/>
      <c r="E37" s="25"/>
      <c r="F37" s="25"/>
      <c r="G37" s="25"/>
      <c r="H37" s="3"/>
      <c r="I37" s="25"/>
      <c r="J37" s="25"/>
      <c r="K37" s="25"/>
      <c r="L37" s="3"/>
      <c r="M37" s="30"/>
      <c r="N37" s="46"/>
      <c r="O37" s="46"/>
      <c r="P37" s="46"/>
      <c r="Q37" s="46"/>
      <c r="R37" s="30"/>
      <c r="S37" s="49"/>
      <c r="T37" s="49"/>
      <c r="U37" s="49"/>
      <c r="V37" s="30"/>
      <c r="W37" s="33"/>
      <c r="X37" s="33"/>
    </row>
    <row r="38" spans="1:24" x14ac:dyDescent="0.3">
      <c r="A38" s="26"/>
      <c r="B38" s="47"/>
      <c r="C38" s="25"/>
      <c r="D38" s="25"/>
      <c r="E38" s="25"/>
      <c r="F38" s="25"/>
      <c r="G38" s="25"/>
      <c r="H38" s="3"/>
      <c r="I38" s="25"/>
      <c r="J38" s="25"/>
      <c r="K38" s="25"/>
      <c r="L38" s="3"/>
      <c r="M38" s="31"/>
      <c r="N38" s="47"/>
      <c r="O38" s="47"/>
      <c r="P38" s="47"/>
      <c r="Q38" s="47"/>
      <c r="R38" s="31"/>
      <c r="S38" s="50"/>
      <c r="T38" s="50"/>
      <c r="U38" s="50"/>
      <c r="V38" s="31"/>
      <c r="W38" s="33"/>
      <c r="X38" s="33"/>
    </row>
    <row r="39" spans="1:24" x14ac:dyDescent="0.3">
      <c r="A39" s="26"/>
      <c r="B39" s="45" t="s">
        <v>94</v>
      </c>
      <c r="C39" s="25" t="s">
        <v>1</v>
      </c>
      <c r="D39" s="25">
        <v>3.5</v>
      </c>
      <c r="E39" s="25">
        <v>2.8</v>
      </c>
      <c r="F39" s="25">
        <f t="shared" si="0"/>
        <v>9.7999999999999989</v>
      </c>
      <c r="G39" s="25">
        <f>F40</f>
        <v>2.2399999999999998</v>
      </c>
      <c r="H39" s="3">
        <f>F39-G39</f>
        <v>7.5599999999999987</v>
      </c>
      <c r="I39" s="25">
        <v>0.6</v>
      </c>
      <c r="J39" s="25">
        <f t="shared" si="6"/>
        <v>20</v>
      </c>
      <c r="K39" s="25">
        <v>5</v>
      </c>
      <c r="L39" s="3">
        <f>H39*I39*(J39-K39)</f>
        <v>68.039999999999978</v>
      </c>
      <c r="M39" s="29">
        <f>SUM(L39:L44)</f>
        <v>575.81999999999994</v>
      </c>
      <c r="N39" s="45">
        <v>1</v>
      </c>
      <c r="O39" s="45">
        <f>3*3.5*2.8</f>
        <v>29.4</v>
      </c>
      <c r="P39" s="45">
        <f>J3</f>
        <v>20</v>
      </c>
      <c r="Q39" s="45">
        <v>5</v>
      </c>
      <c r="R39" s="29">
        <f>N39*O39*1.2*0.28*(P39-Q39)</f>
        <v>148.17599999999999</v>
      </c>
      <c r="S39" s="48">
        <v>0.05</v>
      </c>
      <c r="T39" s="48">
        <v>0.1</v>
      </c>
      <c r="U39" s="48">
        <v>0</v>
      </c>
      <c r="V39" s="29">
        <f>(M39+R39)*(1+S39+T39+U39)</f>
        <v>832.59539999999993</v>
      </c>
      <c r="W39" s="33"/>
      <c r="X39" s="33"/>
    </row>
    <row r="40" spans="1:24" x14ac:dyDescent="0.3">
      <c r="A40" s="26"/>
      <c r="B40" s="46"/>
      <c r="C40" s="25" t="s">
        <v>11</v>
      </c>
      <c r="D40" s="25">
        <v>1.6</v>
      </c>
      <c r="E40" s="25">
        <v>1.4</v>
      </c>
      <c r="F40" s="25">
        <f t="shared" si="0"/>
        <v>2.2399999999999998</v>
      </c>
      <c r="G40" s="25"/>
      <c r="H40" s="3">
        <f t="shared" ref="H40:H43" si="15">F40-G40</f>
        <v>2.2399999999999998</v>
      </c>
      <c r="I40" s="25">
        <v>4.9000000000000004</v>
      </c>
      <c r="J40" s="25">
        <f t="shared" si="6"/>
        <v>20</v>
      </c>
      <c r="K40" s="25">
        <v>5</v>
      </c>
      <c r="L40" s="3">
        <f t="shared" ref="L40:L43" si="16">H40*I40*(J40-K40)</f>
        <v>164.64</v>
      </c>
      <c r="M40" s="30"/>
      <c r="N40" s="46"/>
      <c r="O40" s="46"/>
      <c r="P40" s="46"/>
      <c r="Q40" s="46"/>
      <c r="R40" s="30"/>
      <c r="S40" s="49"/>
      <c r="T40" s="49"/>
      <c r="U40" s="49"/>
      <c r="V40" s="30"/>
      <c r="W40" s="33"/>
      <c r="X40" s="33"/>
    </row>
    <row r="41" spans="1:24" x14ac:dyDescent="0.3">
      <c r="A41" s="26"/>
      <c r="B41" s="46"/>
      <c r="C41" s="25" t="s">
        <v>2</v>
      </c>
      <c r="D41" s="25">
        <v>3.5</v>
      </c>
      <c r="E41" s="25">
        <v>3</v>
      </c>
      <c r="F41" s="25">
        <f t="shared" si="0"/>
        <v>10.5</v>
      </c>
      <c r="G41" s="25"/>
      <c r="H41" s="3">
        <f t="shared" si="15"/>
        <v>10.5</v>
      </c>
      <c r="I41" s="25">
        <v>0.9</v>
      </c>
      <c r="J41" s="25">
        <f t="shared" si="6"/>
        <v>20</v>
      </c>
      <c r="K41" s="25">
        <v>5</v>
      </c>
      <c r="L41" s="3">
        <f t="shared" si="16"/>
        <v>141.75000000000003</v>
      </c>
      <c r="M41" s="30"/>
      <c r="N41" s="46"/>
      <c r="O41" s="46"/>
      <c r="P41" s="46"/>
      <c r="Q41" s="46"/>
      <c r="R41" s="30"/>
      <c r="S41" s="49"/>
      <c r="T41" s="49"/>
      <c r="U41" s="49"/>
      <c r="V41" s="30"/>
      <c r="W41" s="33"/>
      <c r="X41" s="33"/>
    </row>
    <row r="42" spans="1:24" x14ac:dyDescent="0.3">
      <c r="A42" s="26"/>
      <c r="B42" s="46"/>
      <c r="C42" s="25" t="s">
        <v>3</v>
      </c>
      <c r="D42" s="25">
        <v>3.5</v>
      </c>
      <c r="E42" s="25">
        <v>3</v>
      </c>
      <c r="F42" s="25">
        <f t="shared" si="0"/>
        <v>10.5</v>
      </c>
      <c r="G42" s="25"/>
      <c r="H42" s="3">
        <f t="shared" si="15"/>
        <v>10.5</v>
      </c>
      <c r="I42" s="25">
        <v>1.1499999999999999</v>
      </c>
      <c r="J42" s="25">
        <f t="shared" si="6"/>
        <v>20</v>
      </c>
      <c r="K42" s="25">
        <v>10</v>
      </c>
      <c r="L42" s="3">
        <f t="shared" si="16"/>
        <v>120.75</v>
      </c>
      <c r="M42" s="30"/>
      <c r="N42" s="46"/>
      <c r="O42" s="46"/>
      <c r="P42" s="46"/>
      <c r="Q42" s="46"/>
      <c r="R42" s="30"/>
      <c r="S42" s="49"/>
      <c r="T42" s="49"/>
      <c r="U42" s="49"/>
      <c r="V42" s="30"/>
      <c r="W42" s="33"/>
      <c r="X42" s="33"/>
    </row>
    <row r="43" spans="1:24" x14ac:dyDescent="0.3">
      <c r="A43" s="26"/>
      <c r="B43" s="46"/>
      <c r="C43" s="25" t="s">
        <v>12</v>
      </c>
      <c r="D43" s="25">
        <v>3</v>
      </c>
      <c r="E43" s="25">
        <v>2.8</v>
      </c>
      <c r="F43" s="25">
        <f t="shared" si="0"/>
        <v>8.3999999999999986</v>
      </c>
      <c r="G43" s="25"/>
      <c r="H43" s="3">
        <f t="shared" si="15"/>
        <v>8.3999999999999986</v>
      </c>
      <c r="I43" s="25">
        <v>0.8</v>
      </c>
      <c r="J43" s="25">
        <f t="shared" si="6"/>
        <v>20</v>
      </c>
      <c r="K43" s="25">
        <v>8</v>
      </c>
      <c r="L43" s="3">
        <f t="shared" si="16"/>
        <v>80.639999999999986</v>
      </c>
      <c r="M43" s="30"/>
      <c r="N43" s="46"/>
      <c r="O43" s="46"/>
      <c r="P43" s="46"/>
      <c r="Q43" s="46"/>
      <c r="R43" s="30"/>
      <c r="S43" s="49"/>
      <c r="T43" s="49"/>
      <c r="U43" s="49"/>
      <c r="V43" s="30"/>
      <c r="W43" s="33"/>
      <c r="X43" s="33"/>
    </row>
    <row r="44" spans="1:24" x14ac:dyDescent="0.3">
      <c r="A44" s="26"/>
      <c r="B44" s="47"/>
      <c r="C44" s="25"/>
      <c r="D44" s="25"/>
      <c r="E44" s="25"/>
      <c r="F44" s="25"/>
      <c r="G44" s="25"/>
      <c r="H44" s="3"/>
      <c r="I44" s="25"/>
      <c r="J44" s="25"/>
      <c r="K44" s="25"/>
      <c r="L44" s="3"/>
      <c r="M44" s="31"/>
      <c r="N44" s="47"/>
      <c r="O44" s="47"/>
      <c r="P44" s="47"/>
      <c r="Q44" s="47"/>
      <c r="R44" s="31"/>
      <c r="S44" s="50"/>
      <c r="T44" s="50"/>
      <c r="U44" s="50"/>
      <c r="V44" s="31"/>
      <c r="W44" s="33"/>
      <c r="X44" s="33"/>
    </row>
    <row r="45" spans="1:24" x14ac:dyDescent="0.3">
      <c r="A45" s="26"/>
      <c r="B45" s="45" t="s">
        <v>95</v>
      </c>
      <c r="C45" s="25" t="s">
        <v>2</v>
      </c>
      <c r="D45" s="25">
        <v>8</v>
      </c>
      <c r="E45" s="25">
        <v>1</v>
      </c>
      <c r="F45" s="25">
        <f>D45*E45</f>
        <v>8</v>
      </c>
      <c r="G45" s="25"/>
      <c r="H45" s="3">
        <f>F45-G45</f>
        <v>8</v>
      </c>
      <c r="I45" s="25">
        <v>0.9</v>
      </c>
      <c r="J45" s="25">
        <f t="shared" si="6"/>
        <v>20</v>
      </c>
      <c r="K45" s="25">
        <v>5</v>
      </c>
      <c r="L45" s="3">
        <f>H45*I45*(J45-K45)</f>
        <v>108</v>
      </c>
      <c r="M45" s="29">
        <f>SUM(L45:L50)</f>
        <v>226.88</v>
      </c>
      <c r="N45" s="45">
        <v>1</v>
      </c>
      <c r="O45" s="45">
        <f>8*1*2.8</f>
        <v>22.4</v>
      </c>
      <c r="P45" s="45">
        <f>J3</f>
        <v>20</v>
      </c>
      <c r="Q45" s="45">
        <v>5</v>
      </c>
      <c r="R45" s="29">
        <f>N45*O45*1.2*0.28*(P45-Q45)</f>
        <v>112.89600000000002</v>
      </c>
      <c r="S45" s="48">
        <v>0</v>
      </c>
      <c r="T45" s="48">
        <v>0.1</v>
      </c>
      <c r="U45" s="48">
        <v>0</v>
      </c>
      <c r="V45" s="29">
        <f>(M45+R45)*(1+S45+T45+U45)</f>
        <v>373.75360000000006</v>
      </c>
      <c r="W45" s="33"/>
      <c r="X45" s="33"/>
    </row>
    <row r="46" spans="1:24" x14ac:dyDescent="0.3">
      <c r="A46" s="26"/>
      <c r="B46" s="46"/>
      <c r="C46" s="25" t="s">
        <v>3</v>
      </c>
      <c r="D46" s="25">
        <v>8</v>
      </c>
      <c r="E46" s="25">
        <v>1</v>
      </c>
      <c r="F46" s="25">
        <f>D46*E46</f>
        <v>8</v>
      </c>
      <c r="G46" s="25"/>
      <c r="H46" s="3">
        <f>F46-G46</f>
        <v>8</v>
      </c>
      <c r="I46" s="25">
        <v>1.1499999999999999</v>
      </c>
      <c r="J46" s="25">
        <f t="shared" si="6"/>
        <v>20</v>
      </c>
      <c r="K46" s="25">
        <v>10</v>
      </c>
      <c r="L46" s="3">
        <f>H46*I46*(J46-K46)</f>
        <v>92</v>
      </c>
      <c r="M46" s="30"/>
      <c r="N46" s="46"/>
      <c r="O46" s="46"/>
      <c r="P46" s="46"/>
      <c r="Q46" s="46"/>
      <c r="R46" s="30"/>
      <c r="S46" s="49"/>
      <c r="T46" s="49"/>
      <c r="U46" s="49"/>
      <c r="V46" s="30"/>
      <c r="W46" s="33"/>
      <c r="X46" s="33"/>
    </row>
    <row r="47" spans="1:24" x14ac:dyDescent="0.3">
      <c r="A47" s="26"/>
      <c r="B47" s="46"/>
      <c r="C47" s="25" t="s">
        <v>12</v>
      </c>
      <c r="D47" s="25">
        <v>1</v>
      </c>
      <c r="E47" s="25">
        <v>2.8</v>
      </c>
      <c r="F47" s="25">
        <f>D47*E47</f>
        <v>2.8</v>
      </c>
      <c r="G47" s="25"/>
      <c r="H47" s="3">
        <f>F47-G47</f>
        <v>2.8</v>
      </c>
      <c r="I47" s="25">
        <v>0.8</v>
      </c>
      <c r="J47" s="25">
        <f t="shared" si="6"/>
        <v>20</v>
      </c>
      <c r="K47" s="25">
        <v>8</v>
      </c>
      <c r="L47" s="3">
        <f>H47*I47*(J47-K47)</f>
        <v>26.879999999999995</v>
      </c>
      <c r="M47" s="30"/>
      <c r="N47" s="46"/>
      <c r="O47" s="46"/>
      <c r="P47" s="46"/>
      <c r="Q47" s="46"/>
      <c r="R47" s="30"/>
      <c r="S47" s="49"/>
      <c r="T47" s="49"/>
      <c r="U47" s="49"/>
      <c r="V47" s="30"/>
      <c r="W47" s="33"/>
      <c r="X47" s="33"/>
    </row>
    <row r="48" spans="1:24" x14ac:dyDescent="0.3">
      <c r="A48" s="26"/>
      <c r="B48" s="46"/>
      <c r="C48" s="25"/>
      <c r="D48" s="25"/>
      <c r="E48" s="25"/>
      <c r="F48" s="25"/>
      <c r="G48" s="25"/>
      <c r="H48" s="3"/>
      <c r="I48" s="25"/>
      <c r="J48" s="25"/>
      <c r="K48" s="25"/>
      <c r="L48" s="3"/>
      <c r="M48" s="30"/>
      <c r="N48" s="46"/>
      <c r="O48" s="46"/>
      <c r="P48" s="46"/>
      <c r="Q48" s="46"/>
      <c r="R48" s="30"/>
      <c r="S48" s="49"/>
      <c r="T48" s="49"/>
      <c r="U48" s="49"/>
      <c r="V48" s="30"/>
      <c r="W48" s="33"/>
      <c r="X48" s="33"/>
    </row>
    <row r="49" spans="1:24" x14ac:dyDescent="0.3">
      <c r="A49" s="26"/>
      <c r="B49" s="46"/>
      <c r="C49" s="25"/>
      <c r="D49" s="25"/>
      <c r="E49" s="25"/>
      <c r="F49" s="25"/>
      <c r="G49" s="25"/>
      <c r="H49" s="3"/>
      <c r="I49" s="25"/>
      <c r="J49" s="25"/>
      <c r="K49" s="25"/>
      <c r="L49" s="3"/>
      <c r="M49" s="30"/>
      <c r="N49" s="46"/>
      <c r="O49" s="46"/>
      <c r="P49" s="46"/>
      <c r="Q49" s="46"/>
      <c r="R49" s="30"/>
      <c r="S49" s="49"/>
      <c r="T49" s="49"/>
      <c r="U49" s="49"/>
      <c r="V49" s="30"/>
      <c r="W49" s="33"/>
      <c r="X49" s="33"/>
    </row>
    <row r="50" spans="1:24" x14ac:dyDescent="0.3">
      <c r="A50" s="26"/>
      <c r="B50" s="47"/>
      <c r="C50" s="25"/>
      <c r="D50" s="25"/>
      <c r="E50" s="25"/>
      <c r="F50" s="25"/>
      <c r="G50" s="25"/>
      <c r="H50" s="3"/>
      <c r="I50" s="25"/>
      <c r="J50" s="25"/>
      <c r="K50" s="25"/>
      <c r="L50" s="3"/>
      <c r="M50" s="31"/>
      <c r="N50" s="47"/>
      <c r="O50" s="47"/>
      <c r="P50" s="47"/>
      <c r="Q50" s="47"/>
      <c r="R50" s="31"/>
      <c r="S50" s="50"/>
      <c r="T50" s="50"/>
      <c r="U50" s="50"/>
      <c r="V50" s="31"/>
      <c r="W50" s="34"/>
      <c r="X50" s="34"/>
    </row>
  </sheetData>
  <mergeCells count="99">
    <mergeCell ref="A1:A2"/>
    <mergeCell ref="B1:B2"/>
    <mergeCell ref="X1:X2"/>
    <mergeCell ref="X3:X50"/>
    <mergeCell ref="B3:B8"/>
    <mergeCell ref="C1:M1"/>
    <mergeCell ref="M3:M8"/>
    <mergeCell ref="N1:R1"/>
    <mergeCell ref="N3:N8"/>
    <mergeCell ref="O3:O8"/>
    <mergeCell ref="P3:P8"/>
    <mergeCell ref="Q3:Q8"/>
    <mergeCell ref="Q9:Q14"/>
    <mergeCell ref="R3:R8"/>
    <mergeCell ref="S1:U1"/>
    <mergeCell ref="V1:V2"/>
    <mergeCell ref="S3:S8"/>
    <mergeCell ref="T3:T8"/>
    <mergeCell ref="U3:U8"/>
    <mergeCell ref="V3:V8"/>
    <mergeCell ref="B9:B14"/>
    <mergeCell ref="M9:M14"/>
    <mergeCell ref="N9:N14"/>
    <mergeCell ref="O9:O14"/>
    <mergeCell ref="P9:P14"/>
    <mergeCell ref="B15:B20"/>
    <mergeCell ref="M15:M20"/>
    <mergeCell ref="N15:N20"/>
    <mergeCell ref="O15:O20"/>
    <mergeCell ref="P15:P20"/>
    <mergeCell ref="U15:U20"/>
    <mergeCell ref="V15:V20"/>
    <mergeCell ref="R9:R14"/>
    <mergeCell ref="S9:S14"/>
    <mergeCell ref="T9:T14"/>
    <mergeCell ref="U9:U14"/>
    <mergeCell ref="V9:V14"/>
    <mergeCell ref="Q21:Q26"/>
    <mergeCell ref="Q15:Q20"/>
    <mergeCell ref="R15:R20"/>
    <mergeCell ref="S15:S20"/>
    <mergeCell ref="T15:T20"/>
    <mergeCell ref="O27:O32"/>
    <mergeCell ref="P27:P32"/>
    <mergeCell ref="B21:B26"/>
    <mergeCell ref="M21:M26"/>
    <mergeCell ref="N21:N26"/>
    <mergeCell ref="O21:O26"/>
    <mergeCell ref="P21:P26"/>
    <mergeCell ref="U27:U32"/>
    <mergeCell ref="V27:V32"/>
    <mergeCell ref="R21:R26"/>
    <mergeCell ref="S21:S26"/>
    <mergeCell ref="T21:T26"/>
    <mergeCell ref="U21:U26"/>
    <mergeCell ref="V21:V26"/>
    <mergeCell ref="P33:P38"/>
    <mergeCell ref="Q33:Q38"/>
    <mergeCell ref="Q27:Q32"/>
    <mergeCell ref="R27:R32"/>
    <mergeCell ref="S27:S32"/>
    <mergeCell ref="P45:P50"/>
    <mergeCell ref="Q45:Q50"/>
    <mergeCell ref="Q39:Q44"/>
    <mergeCell ref="R39:R44"/>
    <mergeCell ref="S39:S44"/>
    <mergeCell ref="P39:P44"/>
    <mergeCell ref="A3:A50"/>
    <mergeCell ref="B45:B50"/>
    <mergeCell ref="M45:M50"/>
    <mergeCell ref="N45:N50"/>
    <mergeCell ref="O45:O50"/>
    <mergeCell ref="B39:B44"/>
    <mergeCell ref="M39:M44"/>
    <mergeCell ref="N39:N44"/>
    <mergeCell ref="O39:O44"/>
    <mergeCell ref="B33:B38"/>
    <mergeCell ref="M33:M38"/>
    <mergeCell ref="N33:N38"/>
    <mergeCell ref="O33:O38"/>
    <mergeCell ref="B27:B32"/>
    <mergeCell ref="M27:M32"/>
    <mergeCell ref="N27:N32"/>
    <mergeCell ref="W3:W50"/>
    <mergeCell ref="W1:W2"/>
    <mergeCell ref="R45:R50"/>
    <mergeCell ref="S45:S50"/>
    <mergeCell ref="T45:T50"/>
    <mergeCell ref="U45:U50"/>
    <mergeCell ref="V45:V50"/>
    <mergeCell ref="T39:T44"/>
    <mergeCell ref="U39:U44"/>
    <mergeCell ref="V39:V44"/>
    <mergeCell ref="R33:R38"/>
    <mergeCell ref="S33:S38"/>
    <mergeCell ref="T33:T38"/>
    <mergeCell ref="U33:U38"/>
    <mergeCell ref="V33:V38"/>
    <mergeCell ref="T27:T32"/>
  </mergeCells>
  <pageMargins left="0.7" right="0.7" top="0.75" bottom="0.75" header="0.3" footer="0.3"/>
  <pageSetup paperSize="8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D6FE-7C81-408A-A5E0-E853C9A5B348}">
  <sheetPr>
    <tabColor theme="5" tint="0.59999389629810485"/>
  </sheetPr>
  <dimension ref="A1:N10"/>
  <sheetViews>
    <sheetView topLeftCell="B1" zoomScaleNormal="100" workbookViewId="0">
      <selection activeCell="B1" sqref="B1"/>
    </sheetView>
  </sheetViews>
  <sheetFormatPr baseColWidth="10" defaultRowHeight="13.2" x14ac:dyDescent="0.25"/>
  <cols>
    <col min="1" max="1" width="18.21875" style="22" bestFit="1" customWidth="1"/>
    <col min="2" max="2" width="39.77734375" style="22" bestFit="1" customWidth="1"/>
    <col min="3" max="3" width="28.88671875" style="22" bestFit="1" customWidth="1"/>
    <col min="4" max="4" width="31.21875" style="22" customWidth="1"/>
    <col min="5" max="5" width="11.5546875" style="22" customWidth="1"/>
    <col min="6" max="6" width="16.77734375" style="22" customWidth="1"/>
    <col min="7" max="7" width="17" style="22" customWidth="1"/>
    <col min="8" max="8" width="11.5546875" style="22" customWidth="1"/>
    <col min="9" max="9" width="45.21875" style="22" bestFit="1" customWidth="1"/>
    <col min="10" max="10" width="20.33203125" style="22" bestFit="1" customWidth="1"/>
    <col min="11" max="11" width="25.5546875" style="22" bestFit="1" customWidth="1"/>
    <col min="12" max="12" width="21.88671875" style="22" customWidth="1"/>
    <col min="13" max="13" width="22.33203125" style="22" customWidth="1"/>
    <col min="14" max="14" width="15.44140625" style="22" customWidth="1"/>
    <col min="15" max="16384" width="11.5546875" style="22"/>
  </cols>
  <sheetData>
    <row r="1" spans="1:14" s="21" customFormat="1" ht="57.6" customHeight="1" x14ac:dyDescent="0.25">
      <c r="A1" s="28" t="s">
        <v>0</v>
      </c>
      <c r="B1" s="28" t="s">
        <v>18</v>
      </c>
      <c r="C1" s="28" t="s">
        <v>19</v>
      </c>
      <c r="D1" s="28" t="s">
        <v>21</v>
      </c>
      <c r="E1" s="28" t="s">
        <v>84</v>
      </c>
      <c r="F1" s="28" t="s">
        <v>85</v>
      </c>
      <c r="G1" s="28" t="s">
        <v>86</v>
      </c>
      <c r="H1" s="28" t="s">
        <v>83</v>
      </c>
      <c r="I1" s="28" t="s">
        <v>87</v>
      </c>
      <c r="J1" s="28" t="s">
        <v>23</v>
      </c>
      <c r="K1" s="28" t="s">
        <v>24</v>
      </c>
      <c r="L1" s="28" t="s">
        <v>25</v>
      </c>
      <c r="M1" s="28" t="s">
        <v>26</v>
      </c>
      <c r="N1" s="28" t="s">
        <v>88</v>
      </c>
    </row>
    <row r="2" spans="1:14" s="21" customFormat="1" x14ac:dyDescent="0.25">
      <c r="A2" s="24" t="s">
        <v>6</v>
      </c>
      <c r="B2" s="25" t="s">
        <v>7</v>
      </c>
      <c r="C2" s="25">
        <f>'Cargas térmicas'!V3</f>
        <v>1218.1490000000003</v>
      </c>
      <c r="D2" s="25" t="s">
        <v>22</v>
      </c>
      <c r="E2" s="25">
        <v>60</v>
      </c>
      <c r="F2" s="25">
        <f>E2-20</f>
        <v>40</v>
      </c>
      <c r="G2" s="25">
        <v>20</v>
      </c>
      <c r="H2" s="23">
        <f>AVERAGE(E2:F2)-G2</f>
        <v>30</v>
      </c>
      <c r="I2" s="25">
        <v>69.989999999999995</v>
      </c>
      <c r="J2" s="25">
        <v>1.3159799999999999</v>
      </c>
      <c r="K2" s="3">
        <f>I2*((H2/30)^J2)</f>
        <v>69.989999999999995</v>
      </c>
      <c r="L2" s="23">
        <f>ROUNDUP(C2/K2,0)</f>
        <v>18</v>
      </c>
      <c r="M2" s="25">
        <v>2</v>
      </c>
      <c r="N2" s="23">
        <f>L2*K2</f>
        <v>1259.82</v>
      </c>
    </row>
    <row r="3" spans="1:14" s="21" customFormat="1" x14ac:dyDescent="0.25">
      <c r="A3" s="26"/>
      <c r="B3" s="25" t="s">
        <v>92</v>
      </c>
      <c r="C3" s="25">
        <f>'Cargas térmicas'!V9</f>
        <v>275.62050000000005</v>
      </c>
      <c r="D3" s="25" t="s">
        <v>22</v>
      </c>
      <c r="E3" s="25">
        <v>60</v>
      </c>
      <c r="F3" s="25">
        <f t="shared" ref="F3:F9" si="0">E3-20</f>
        <v>40</v>
      </c>
      <c r="G3" s="25">
        <f>G2</f>
        <v>20</v>
      </c>
      <c r="H3" s="23">
        <f t="shared" ref="H3:H9" si="1">AVERAGE(E3:F3)-G3</f>
        <v>30</v>
      </c>
      <c r="I3" s="25">
        <v>69.989999999999995</v>
      </c>
      <c r="J3" s="25">
        <v>1.3159799999999999</v>
      </c>
      <c r="K3" s="3">
        <f t="shared" ref="K3:K9" si="2">I3*((H3/30)^J3)</f>
        <v>69.989999999999995</v>
      </c>
      <c r="L3" s="23">
        <f t="shared" ref="L3:L9" si="3">ROUNDUP(C3/K3,0)</f>
        <v>4</v>
      </c>
      <c r="M3" s="25">
        <v>1</v>
      </c>
      <c r="N3" s="23">
        <f t="shared" ref="N3:N9" si="4">L3*K3</f>
        <v>279.95999999999998</v>
      </c>
    </row>
    <row r="4" spans="1:14" s="21" customFormat="1" x14ac:dyDescent="0.25">
      <c r="A4" s="26"/>
      <c r="B4" s="25" t="s">
        <v>89</v>
      </c>
      <c r="C4" s="25">
        <f>'Cargas térmicas'!V15</f>
        <v>667.71300000000008</v>
      </c>
      <c r="D4" s="25" t="s">
        <v>22</v>
      </c>
      <c r="E4" s="25">
        <v>60</v>
      </c>
      <c r="F4" s="25">
        <f t="shared" si="0"/>
        <v>40</v>
      </c>
      <c r="G4" s="25">
        <f t="shared" ref="G4:G9" si="5">G3</f>
        <v>20</v>
      </c>
      <c r="H4" s="23">
        <f t="shared" si="1"/>
        <v>30</v>
      </c>
      <c r="I4" s="25">
        <v>69.989999999999995</v>
      </c>
      <c r="J4" s="25">
        <v>1.3159799999999999</v>
      </c>
      <c r="K4" s="3">
        <f t="shared" si="2"/>
        <v>69.989999999999995</v>
      </c>
      <c r="L4" s="23">
        <f t="shared" si="3"/>
        <v>10</v>
      </c>
      <c r="M4" s="25">
        <v>1</v>
      </c>
      <c r="N4" s="23">
        <f t="shared" si="4"/>
        <v>699.9</v>
      </c>
    </row>
    <row r="5" spans="1:14" s="21" customFormat="1" x14ac:dyDescent="0.25">
      <c r="A5" s="26"/>
      <c r="B5" s="25" t="s">
        <v>90</v>
      </c>
      <c r="C5" s="25">
        <f>'Cargas térmicas'!V21</f>
        <v>700.51559999999995</v>
      </c>
      <c r="D5" s="25" t="s">
        <v>22</v>
      </c>
      <c r="E5" s="25">
        <v>60</v>
      </c>
      <c r="F5" s="25">
        <f t="shared" si="0"/>
        <v>40</v>
      </c>
      <c r="G5" s="25">
        <f t="shared" si="5"/>
        <v>20</v>
      </c>
      <c r="H5" s="23">
        <f t="shared" si="1"/>
        <v>30</v>
      </c>
      <c r="I5" s="25">
        <v>69.989999999999995</v>
      </c>
      <c r="J5" s="25">
        <v>1.3159799999999999</v>
      </c>
      <c r="K5" s="3">
        <f t="shared" si="2"/>
        <v>69.989999999999995</v>
      </c>
      <c r="L5" s="23">
        <f t="shared" si="3"/>
        <v>11</v>
      </c>
      <c r="M5" s="25">
        <v>1</v>
      </c>
      <c r="N5" s="23">
        <f t="shared" si="4"/>
        <v>769.89</v>
      </c>
    </row>
    <row r="6" spans="1:14" s="21" customFormat="1" x14ac:dyDescent="0.25">
      <c r="A6" s="26"/>
      <c r="B6" s="25" t="s">
        <v>91</v>
      </c>
      <c r="C6" s="25">
        <f>'Cargas térmicas'!V27</f>
        <v>412.02660000000003</v>
      </c>
      <c r="D6" s="25" t="s">
        <v>22</v>
      </c>
      <c r="E6" s="25">
        <v>60</v>
      </c>
      <c r="F6" s="25">
        <f t="shared" si="0"/>
        <v>40</v>
      </c>
      <c r="G6" s="25">
        <f t="shared" si="5"/>
        <v>20</v>
      </c>
      <c r="H6" s="23">
        <f t="shared" si="1"/>
        <v>30</v>
      </c>
      <c r="I6" s="25">
        <v>69.989999999999995</v>
      </c>
      <c r="J6" s="25">
        <v>1.3159799999999999</v>
      </c>
      <c r="K6" s="3">
        <f t="shared" si="2"/>
        <v>69.989999999999995</v>
      </c>
      <c r="L6" s="23">
        <f t="shared" si="3"/>
        <v>6</v>
      </c>
      <c r="M6" s="25">
        <v>1</v>
      </c>
      <c r="N6" s="23">
        <f t="shared" si="4"/>
        <v>419.93999999999994</v>
      </c>
    </row>
    <row r="7" spans="1:14" s="21" customFormat="1" x14ac:dyDescent="0.25">
      <c r="A7" s="26"/>
      <c r="B7" s="25" t="s">
        <v>93</v>
      </c>
      <c r="C7" s="25">
        <f>'Cargas térmicas'!V33</f>
        <v>657.90120000000002</v>
      </c>
      <c r="D7" s="25" t="s">
        <v>22</v>
      </c>
      <c r="E7" s="25">
        <v>60</v>
      </c>
      <c r="F7" s="25">
        <f t="shared" si="0"/>
        <v>40</v>
      </c>
      <c r="G7" s="25">
        <f t="shared" si="5"/>
        <v>20</v>
      </c>
      <c r="H7" s="23">
        <f t="shared" si="1"/>
        <v>30</v>
      </c>
      <c r="I7" s="25">
        <v>69.989999999999995</v>
      </c>
      <c r="J7" s="25">
        <v>1.3159799999999999</v>
      </c>
      <c r="K7" s="3">
        <f t="shared" si="2"/>
        <v>69.989999999999995</v>
      </c>
      <c r="L7" s="23">
        <f t="shared" si="3"/>
        <v>10</v>
      </c>
      <c r="M7" s="25">
        <v>1</v>
      </c>
      <c r="N7" s="23">
        <f t="shared" si="4"/>
        <v>699.9</v>
      </c>
    </row>
    <row r="8" spans="1:14" s="21" customFormat="1" x14ac:dyDescent="0.25">
      <c r="A8" s="26"/>
      <c r="B8" s="25" t="s">
        <v>94</v>
      </c>
      <c r="C8" s="25">
        <f>'Cargas térmicas'!V39</f>
        <v>832.59539999999993</v>
      </c>
      <c r="D8" s="25" t="s">
        <v>22</v>
      </c>
      <c r="E8" s="25">
        <v>60</v>
      </c>
      <c r="F8" s="25">
        <f t="shared" si="0"/>
        <v>40</v>
      </c>
      <c r="G8" s="25">
        <f t="shared" si="5"/>
        <v>20</v>
      </c>
      <c r="H8" s="23">
        <f t="shared" si="1"/>
        <v>30</v>
      </c>
      <c r="I8" s="25">
        <v>69.989999999999995</v>
      </c>
      <c r="J8" s="25">
        <v>1.3159799999999999</v>
      </c>
      <c r="K8" s="3">
        <f t="shared" si="2"/>
        <v>69.989999999999995</v>
      </c>
      <c r="L8" s="23">
        <f t="shared" si="3"/>
        <v>12</v>
      </c>
      <c r="M8" s="25">
        <v>1</v>
      </c>
      <c r="N8" s="23">
        <f t="shared" si="4"/>
        <v>839.87999999999988</v>
      </c>
    </row>
    <row r="9" spans="1:14" s="21" customFormat="1" x14ac:dyDescent="0.25">
      <c r="A9" s="27"/>
      <c r="B9" s="25" t="s">
        <v>95</v>
      </c>
      <c r="C9" s="25">
        <f>'Cargas térmicas'!V45</f>
        <v>373.75360000000006</v>
      </c>
      <c r="D9" s="25" t="s">
        <v>22</v>
      </c>
      <c r="E9" s="25">
        <v>60</v>
      </c>
      <c r="F9" s="25">
        <f t="shared" si="0"/>
        <v>40</v>
      </c>
      <c r="G9" s="25">
        <f t="shared" si="5"/>
        <v>20</v>
      </c>
      <c r="H9" s="23">
        <f t="shared" si="1"/>
        <v>30</v>
      </c>
      <c r="I9" s="25">
        <v>69.989999999999995</v>
      </c>
      <c r="J9" s="25">
        <v>1.3159799999999999</v>
      </c>
      <c r="K9" s="3">
        <f t="shared" si="2"/>
        <v>69.989999999999995</v>
      </c>
      <c r="L9" s="23">
        <f t="shared" si="3"/>
        <v>6</v>
      </c>
      <c r="M9" s="25">
        <v>1</v>
      </c>
      <c r="N9" s="23">
        <f t="shared" si="4"/>
        <v>419.93999999999994</v>
      </c>
    </row>
    <row r="10" spans="1:14" s="21" customFormat="1" x14ac:dyDescent="0.25">
      <c r="B10" s="1" t="s">
        <v>20</v>
      </c>
      <c r="C10" s="23">
        <f>SUM(C2:C9)</f>
        <v>5138.2749000000013</v>
      </c>
      <c r="N10" s="23">
        <f>SUM(N2:N9)</f>
        <v>5389.23</v>
      </c>
    </row>
  </sheetData>
  <mergeCells count="1">
    <mergeCell ref="A2: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2B11-ED25-43F8-80E6-8FD277F1D748}">
  <sheetPr>
    <tabColor theme="8" tint="0.59999389629810485"/>
  </sheetPr>
  <dimension ref="A1:Y14"/>
  <sheetViews>
    <sheetView workbookViewId="0">
      <selection activeCell="E1" sqref="E1"/>
    </sheetView>
  </sheetViews>
  <sheetFormatPr baseColWidth="10" defaultRowHeight="25.8" x14ac:dyDescent="0.5"/>
  <cols>
    <col min="1" max="1" width="11.5546875" style="19"/>
    <col min="2" max="2" width="20.6640625" style="19" bestFit="1" customWidth="1"/>
    <col min="3" max="3" width="22.44140625" style="19" bestFit="1" customWidth="1"/>
    <col min="4" max="8" width="11.5546875" style="19"/>
    <col min="9" max="9" width="13.33203125" style="19" bestFit="1" customWidth="1"/>
    <col min="10" max="11" width="11.5546875" style="19"/>
    <col min="12" max="25" width="11.5546875" style="19" customWidth="1"/>
    <col min="26" max="16384" width="11.5546875" style="19"/>
  </cols>
  <sheetData>
    <row r="1" spans="1:25" s="58" customFormat="1" ht="66" x14ac:dyDescent="0.3">
      <c r="A1" s="52" t="s">
        <v>27</v>
      </c>
      <c r="B1" s="52" t="s">
        <v>37</v>
      </c>
      <c r="C1" s="52" t="s">
        <v>39</v>
      </c>
      <c r="D1" s="52" t="s">
        <v>40</v>
      </c>
      <c r="E1" s="52" t="s">
        <v>41</v>
      </c>
      <c r="F1" s="28" t="s">
        <v>42</v>
      </c>
      <c r="G1" s="53" t="s">
        <v>43</v>
      </c>
      <c r="H1" s="54" t="s">
        <v>44</v>
      </c>
      <c r="I1" s="52" t="s">
        <v>45</v>
      </c>
      <c r="J1" s="52" t="s">
        <v>46</v>
      </c>
      <c r="K1" s="52" t="s">
        <v>47</v>
      </c>
      <c r="L1" s="55" t="s">
        <v>48</v>
      </c>
      <c r="M1" s="52" t="s">
        <v>49</v>
      </c>
      <c r="N1" s="56" t="s">
        <v>50</v>
      </c>
      <c r="O1" s="55" t="s">
        <v>51</v>
      </c>
      <c r="P1" s="55" t="s">
        <v>52</v>
      </c>
      <c r="Q1" s="52" t="s">
        <v>53</v>
      </c>
      <c r="R1" s="52" t="s">
        <v>54</v>
      </c>
      <c r="S1" s="52" t="s">
        <v>55</v>
      </c>
      <c r="T1" s="57" t="s">
        <v>56</v>
      </c>
      <c r="U1" s="52" t="s">
        <v>57</v>
      </c>
      <c r="V1" s="52" t="s">
        <v>58</v>
      </c>
      <c r="W1" s="52" t="s">
        <v>59</v>
      </c>
      <c r="X1" s="52" t="s">
        <v>60</v>
      </c>
      <c r="Y1" s="52" t="s">
        <v>62</v>
      </c>
    </row>
    <row r="2" spans="1:25" x14ac:dyDescent="0.5">
      <c r="A2" s="2" t="s">
        <v>28</v>
      </c>
      <c r="B2" s="2">
        <f>'Emisores (radiadores)'!N10</f>
        <v>5389.23</v>
      </c>
      <c r="C2" s="2">
        <f>B2/(('Emisores (radiadores)'!E$2-'Emisores (radiadores)'!F$2)*1.16)</f>
        <v>232.29439655172413</v>
      </c>
      <c r="D2" s="2">
        <v>4</v>
      </c>
      <c r="E2" s="3">
        <f>C2/3600</f>
        <v>6.4526221264367814E-2</v>
      </c>
      <c r="F2" s="4">
        <f t="shared" ref="F2:F11" si="0">E2*3600</f>
        <v>232.29439655172413</v>
      </c>
      <c r="G2" s="5">
        <f>F2/(3600*1000)</f>
        <v>6.4526221264367815E-5</v>
      </c>
      <c r="H2" s="6">
        <f>SQRT(4000*E2/(PI()*2))</f>
        <v>6.4092642552060557</v>
      </c>
      <c r="I2" s="7" t="s">
        <v>61</v>
      </c>
      <c r="J2" s="8">
        <v>12</v>
      </c>
      <c r="K2" s="9">
        <v>8.6</v>
      </c>
      <c r="L2" s="10">
        <v>0.03</v>
      </c>
      <c r="M2" s="11">
        <f t="shared" ref="M2" si="1">G2/(PI()*(K2/1000)^2*0.25)</f>
        <v>1.1108347293959444</v>
      </c>
      <c r="N2" s="12">
        <f t="shared" ref="N2" si="2">M2*K2/0.001</f>
        <v>9553.1786728051211</v>
      </c>
      <c r="O2" s="13">
        <f>L2/K2</f>
        <v>3.4883720930232558E-3</v>
      </c>
      <c r="P2" s="13">
        <f t="shared" ref="P2" si="3">0.25/((LOG10((5.74/(N2^0.9))+(L2/(3.7*K2))))^2)</f>
        <v>3.6651944507796838E-2</v>
      </c>
      <c r="Q2" s="11">
        <f>0.2*D2</f>
        <v>0.8</v>
      </c>
      <c r="R2" s="11">
        <f t="shared" ref="R2:R11" si="4">Q2+D2</f>
        <v>4.8</v>
      </c>
      <c r="S2" s="2">
        <v>0</v>
      </c>
      <c r="T2" s="11">
        <f t="shared" ref="T2:T11" si="5">(P2*R2/(0.001*K2)+S2)*(M2^2)/(2*9.806)</f>
        <v>1.287113425307411</v>
      </c>
      <c r="U2" s="2">
        <v>0</v>
      </c>
      <c r="V2" s="2">
        <v>0</v>
      </c>
      <c r="W2" s="2">
        <v>15</v>
      </c>
      <c r="X2" s="14">
        <f>U2+W2-V2-T2</f>
        <v>13.71288657469259</v>
      </c>
      <c r="Y2" s="2">
        <v>25</v>
      </c>
    </row>
    <row r="3" spans="1:25" x14ac:dyDescent="0.5">
      <c r="A3" s="2" t="s">
        <v>29</v>
      </c>
      <c r="B3" s="2">
        <f>9*'Emisores (radiadores)'!K2</f>
        <v>629.91</v>
      </c>
      <c r="C3" s="2">
        <f>B3/(('Emisores (radiadores)'!E$2-'Emisores (radiadores)'!F$2)*1.16)</f>
        <v>27.151293103448275</v>
      </c>
      <c r="D3" s="2">
        <v>3</v>
      </c>
      <c r="E3" s="3">
        <f t="shared" ref="E3:E11" si="6">C3/3600</f>
        <v>7.5420258620689656E-3</v>
      </c>
      <c r="F3" s="4">
        <f t="shared" si="0"/>
        <v>27.151293103448275</v>
      </c>
      <c r="G3" s="5">
        <f t="shared" ref="G3:G11" si="7">F3/(3600*1000)</f>
        <v>7.5420258620689654E-6</v>
      </c>
      <c r="H3" s="6">
        <f t="shared" ref="H3:H11" si="8">SQRT(4000*E3/(PI()*2))</f>
        <v>2.1912103476163023</v>
      </c>
      <c r="I3" s="7" t="s">
        <v>61</v>
      </c>
      <c r="J3" s="8">
        <v>12</v>
      </c>
      <c r="K3" s="9">
        <v>8.6</v>
      </c>
      <c r="L3" s="10">
        <v>0.03</v>
      </c>
      <c r="M3" s="11">
        <f t="shared" ref="M3:M11" si="9">G3/(PI()*(K3/1000)^2*0.25)</f>
        <v>0.12983782551381168</v>
      </c>
      <c r="N3" s="12">
        <f t="shared" ref="N3:N11" si="10">M3*K3/0.001</f>
        <v>1116.6052994187803</v>
      </c>
      <c r="O3" s="13">
        <f t="shared" ref="O3:O11" si="11">L3/K3</f>
        <v>3.4883720930232558E-3</v>
      </c>
      <c r="P3" s="13">
        <f t="shared" ref="P3:P11" si="12">0.25/((LOG10((5.74/(N3^0.9))+(L3/(3.7*K3))))^2)</f>
        <v>6.5989086163836447E-2</v>
      </c>
      <c r="Q3" s="11">
        <f t="shared" ref="Q3:Q11" si="13">0.2*D3</f>
        <v>0.60000000000000009</v>
      </c>
      <c r="R3" s="11">
        <f t="shared" si="4"/>
        <v>3.6</v>
      </c>
      <c r="S3" s="2">
        <v>0</v>
      </c>
      <c r="T3" s="11">
        <f t="shared" si="5"/>
        <v>2.3744156495305067E-2</v>
      </c>
      <c r="U3" s="2">
        <v>0</v>
      </c>
      <c r="V3" s="2">
        <v>0</v>
      </c>
      <c r="W3" s="2">
        <v>13.71</v>
      </c>
      <c r="X3" s="14">
        <f t="shared" ref="X3:X11" si="14">U3+W3-V3-T3</f>
        <v>13.686255843504696</v>
      </c>
      <c r="Y3" s="2">
        <v>25</v>
      </c>
    </row>
    <row r="4" spans="1:25" x14ac:dyDescent="0.5">
      <c r="A4" s="2" t="s">
        <v>30</v>
      </c>
      <c r="B4" s="2">
        <f>9*'Emisores (radiadores)'!K3</f>
        <v>629.91</v>
      </c>
      <c r="C4" s="2">
        <f>B4/(('Emisores (radiadores)'!E$2-'Emisores (radiadores)'!F$2)*1.16)</f>
        <v>27.151293103448275</v>
      </c>
      <c r="D4" s="2">
        <v>2</v>
      </c>
      <c r="E4" s="3">
        <f t="shared" si="6"/>
        <v>7.5420258620689656E-3</v>
      </c>
      <c r="F4" s="4">
        <f t="shared" si="0"/>
        <v>27.151293103448275</v>
      </c>
      <c r="G4" s="5">
        <f t="shared" si="7"/>
        <v>7.5420258620689654E-6</v>
      </c>
      <c r="H4" s="6">
        <f t="shared" si="8"/>
        <v>2.1912103476163023</v>
      </c>
      <c r="I4" s="7" t="s">
        <v>61</v>
      </c>
      <c r="J4" s="8">
        <v>12</v>
      </c>
      <c r="K4" s="9">
        <v>8.6</v>
      </c>
      <c r="L4" s="10">
        <v>0.03</v>
      </c>
      <c r="M4" s="11">
        <f t="shared" si="9"/>
        <v>0.12983782551381168</v>
      </c>
      <c r="N4" s="12">
        <f t="shared" si="10"/>
        <v>1116.6052994187803</v>
      </c>
      <c r="O4" s="13">
        <f t="shared" si="11"/>
        <v>3.4883720930232558E-3</v>
      </c>
      <c r="P4" s="13">
        <f t="shared" si="12"/>
        <v>6.5989086163836447E-2</v>
      </c>
      <c r="Q4" s="11">
        <f t="shared" si="13"/>
        <v>0.4</v>
      </c>
      <c r="R4" s="11">
        <f t="shared" si="4"/>
        <v>2.4</v>
      </c>
      <c r="S4" s="2">
        <v>0</v>
      </c>
      <c r="T4" s="11">
        <f t="shared" si="5"/>
        <v>1.5829437663536713E-2</v>
      </c>
      <c r="U4" s="2">
        <v>0</v>
      </c>
      <c r="V4" s="2">
        <v>0</v>
      </c>
      <c r="W4" s="2">
        <f t="shared" ref="W4:W11" si="15">W3</f>
        <v>13.71</v>
      </c>
      <c r="X4" s="14">
        <f t="shared" si="14"/>
        <v>13.694170562336463</v>
      </c>
      <c r="Y4" s="2">
        <v>25</v>
      </c>
    </row>
    <row r="5" spans="1:25" x14ac:dyDescent="0.5">
      <c r="A5" s="2" t="s">
        <v>31</v>
      </c>
      <c r="B5" s="2">
        <f>'Emisores (radiadores)'!N3</f>
        <v>279.95999999999998</v>
      </c>
      <c r="C5" s="2">
        <f>B5/(('Emisores (radiadores)'!E$2-'Emisores (radiadores)'!F$2)*1.16)</f>
        <v>12.067241379310344</v>
      </c>
      <c r="D5" s="2">
        <v>1</v>
      </c>
      <c r="E5" s="3">
        <f t="shared" si="6"/>
        <v>3.3520114942528732E-3</v>
      </c>
      <c r="F5" s="4">
        <f t="shared" si="0"/>
        <v>12.067241379310344</v>
      </c>
      <c r="G5" s="5">
        <f t="shared" si="7"/>
        <v>3.3520114942528735E-6</v>
      </c>
      <c r="H5" s="6">
        <f t="shared" si="8"/>
        <v>1.4608068984108682</v>
      </c>
      <c r="I5" s="7" t="s">
        <v>61</v>
      </c>
      <c r="J5" s="8">
        <v>12</v>
      </c>
      <c r="K5" s="9">
        <v>8.6</v>
      </c>
      <c r="L5" s="10">
        <v>0.03</v>
      </c>
      <c r="M5" s="11">
        <f t="shared" si="9"/>
        <v>5.7705700228360753E-2</v>
      </c>
      <c r="N5" s="12">
        <f t="shared" si="10"/>
        <v>496.26902196390245</v>
      </c>
      <c r="O5" s="13">
        <f t="shared" si="11"/>
        <v>3.4883720930232558E-3</v>
      </c>
      <c r="P5" s="13">
        <f t="shared" si="12"/>
        <v>9.1982421851870708E-2</v>
      </c>
      <c r="Q5" s="11">
        <f t="shared" si="13"/>
        <v>0.2</v>
      </c>
      <c r="R5" s="11">
        <f t="shared" si="4"/>
        <v>1.2</v>
      </c>
      <c r="S5" s="2">
        <v>0</v>
      </c>
      <c r="T5" s="11">
        <f t="shared" si="5"/>
        <v>2.1792305626176138E-3</v>
      </c>
      <c r="U5" s="2">
        <v>0</v>
      </c>
      <c r="V5" s="2">
        <v>0</v>
      </c>
      <c r="W5" s="2">
        <f t="shared" si="15"/>
        <v>13.71</v>
      </c>
      <c r="X5" s="14">
        <f t="shared" si="14"/>
        <v>13.707820769437383</v>
      </c>
      <c r="Y5" s="2">
        <v>25</v>
      </c>
    </row>
    <row r="6" spans="1:25" x14ac:dyDescent="0.5">
      <c r="A6" s="2" t="s">
        <v>32</v>
      </c>
      <c r="B6" s="2">
        <f>'Emisores (radiadores)'!N4</f>
        <v>699.9</v>
      </c>
      <c r="C6" s="2">
        <f>B6/(('Emisores (radiadores)'!E$2-'Emisores (radiadores)'!F$2)*1.16)</f>
        <v>30.168103448275861</v>
      </c>
      <c r="D6" s="2">
        <v>2</v>
      </c>
      <c r="E6" s="3">
        <f t="shared" si="6"/>
        <v>8.3800287356321831E-3</v>
      </c>
      <c r="F6" s="4">
        <f t="shared" si="0"/>
        <v>30.168103448275858</v>
      </c>
      <c r="G6" s="5">
        <f t="shared" si="7"/>
        <v>8.380028735632183E-6</v>
      </c>
      <c r="H6" s="6">
        <f t="shared" si="8"/>
        <v>2.3097385103322741</v>
      </c>
      <c r="I6" s="7" t="s">
        <v>61</v>
      </c>
      <c r="J6" s="8">
        <v>12</v>
      </c>
      <c r="K6" s="9">
        <v>8.6</v>
      </c>
      <c r="L6" s="10">
        <v>0.03</v>
      </c>
      <c r="M6" s="11">
        <f t="shared" si="9"/>
        <v>0.14426425057090186</v>
      </c>
      <c r="N6" s="12">
        <f t="shared" si="10"/>
        <v>1240.6725549097559</v>
      </c>
      <c r="O6" s="13">
        <f t="shared" si="11"/>
        <v>3.4883720930232558E-3</v>
      </c>
      <c r="P6" s="13">
        <f t="shared" si="12"/>
        <v>6.3511809198246602E-2</v>
      </c>
      <c r="Q6" s="11">
        <f t="shared" si="13"/>
        <v>0.4</v>
      </c>
      <c r="R6" s="11">
        <f t="shared" si="4"/>
        <v>2.4</v>
      </c>
      <c r="S6" s="2">
        <v>0</v>
      </c>
      <c r="T6" s="11">
        <f t="shared" si="5"/>
        <v>1.880887577558692E-2</v>
      </c>
      <c r="U6" s="2">
        <v>0</v>
      </c>
      <c r="V6" s="2">
        <v>0</v>
      </c>
      <c r="W6" s="2">
        <f t="shared" si="15"/>
        <v>13.71</v>
      </c>
      <c r="X6" s="14">
        <f t="shared" si="14"/>
        <v>13.691191124224414</v>
      </c>
      <c r="Y6" s="2">
        <v>25</v>
      </c>
    </row>
    <row r="7" spans="1:25" x14ac:dyDescent="0.5">
      <c r="A7" s="2" t="s">
        <v>33</v>
      </c>
      <c r="B7" s="2">
        <f>'Emisores (radiadores)'!N5</f>
        <v>769.89</v>
      </c>
      <c r="C7" s="2">
        <f>B7/(('Emisores (radiadores)'!E$2-'Emisores (radiadores)'!F$2)*1.16)</f>
        <v>33.184913793103448</v>
      </c>
      <c r="D7" s="2">
        <v>2</v>
      </c>
      <c r="E7" s="3">
        <f t="shared" si="6"/>
        <v>9.2180316091954023E-3</v>
      </c>
      <c r="F7" s="4">
        <f t="shared" si="0"/>
        <v>33.184913793103448</v>
      </c>
      <c r="G7" s="5">
        <f t="shared" si="7"/>
        <v>9.2180316091954015E-6</v>
      </c>
      <c r="H7" s="6">
        <f t="shared" si="8"/>
        <v>2.4224741865958337</v>
      </c>
      <c r="I7" s="7" t="s">
        <v>61</v>
      </c>
      <c r="J7" s="8">
        <v>12</v>
      </c>
      <c r="K7" s="9">
        <v>8.6</v>
      </c>
      <c r="L7" s="10">
        <v>0.03</v>
      </c>
      <c r="M7" s="11">
        <f t="shared" si="9"/>
        <v>0.15869067562799205</v>
      </c>
      <c r="N7" s="12">
        <f t="shared" si="10"/>
        <v>1364.7398104007316</v>
      </c>
      <c r="O7" s="13">
        <f t="shared" si="11"/>
        <v>3.4883720930232558E-3</v>
      </c>
      <c r="P7" s="13">
        <f t="shared" si="12"/>
        <v>6.1405949440576986E-2</v>
      </c>
      <c r="Q7" s="11">
        <f t="shared" si="13"/>
        <v>0.4</v>
      </c>
      <c r="R7" s="11">
        <f t="shared" si="4"/>
        <v>2.4</v>
      </c>
      <c r="S7" s="2">
        <v>0</v>
      </c>
      <c r="T7" s="11">
        <f t="shared" si="5"/>
        <v>2.2004128622420349E-2</v>
      </c>
      <c r="U7" s="2">
        <v>0</v>
      </c>
      <c r="V7" s="2">
        <v>0</v>
      </c>
      <c r="W7" s="2">
        <f t="shared" si="15"/>
        <v>13.71</v>
      </c>
      <c r="X7" s="14">
        <f t="shared" si="14"/>
        <v>13.687995871377581</v>
      </c>
      <c r="Y7" s="2">
        <v>25</v>
      </c>
    </row>
    <row r="8" spans="1:25" x14ac:dyDescent="0.5">
      <c r="A8" s="2" t="s">
        <v>34</v>
      </c>
      <c r="B8" s="2">
        <f>'Emisores (radiadores)'!N7</f>
        <v>699.9</v>
      </c>
      <c r="C8" s="2">
        <f>B8/(('Emisores (radiadores)'!E$2-'Emisores (radiadores)'!F$2)*1.16)</f>
        <v>30.168103448275861</v>
      </c>
      <c r="D8" s="2">
        <v>1</v>
      </c>
      <c r="E8" s="3">
        <f t="shared" si="6"/>
        <v>8.3800287356321831E-3</v>
      </c>
      <c r="F8" s="4">
        <f t="shared" si="0"/>
        <v>30.168103448275858</v>
      </c>
      <c r="G8" s="5">
        <f t="shared" si="7"/>
        <v>8.380028735632183E-6</v>
      </c>
      <c r="H8" s="6">
        <f t="shared" si="8"/>
        <v>2.3097385103322741</v>
      </c>
      <c r="I8" s="7" t="s">
        <v>61</v>
      </c>
      <c r="J8" s="8">
        <v>12</v>
      </c>
      <c r="K8" s="9">
        <v>8.6</v>
      </c>
      <c r="L8" s="10">
        <v>0.03</v>
      </c>
      <c r="M8" s="11">
        <f t="shared" si="9"/>
        <v>0.14426425057090186</v>
      </c>
      <c r="N8" s="12">
        <f t="shared" si="10"/>
        <v>1240.6725549097559</v>
      </c>
      <c r="O8" s="13">
        <f t="shared" si="11"/>
        <v>3.4883720930232558E-3</v>
      </c>
      <c r="P8" s="13">
        <f t="shared" si="12"/>
        <v>6.3511809198246602E-2</v>
      </c>
      <c r="Q8" s="11">
        <f t="shared" si="13"/>
        <v>0.2</v>
      </c>
      <c r="R8" s="11">
        <f t="shared" si="4"/>
        <v>1.2</v>
      </c>
      <c r="S8" s="2">
        <v>0</v>
      </c>
      <c r="T8" s="11">
        <f t="shared" si="5"/>
        <v>9.4044378877934601E-3</v>
      </c>
      <c r="U8" s="2">
        <v>0</v>
      </c>
      <c r="V8" s="2">
        <v>0</v>
      </c>
      <c r="W8" s="2">
        <f t="shared" si="15"/>
        <v>13.71</v>
      </c>
      <c r="X8" s="14">
        <f t="shared" si="14"/>
        <v>13.700595562112207</v>
      </c>
      <c r="Y8" s="2">
        <v>25</v>
      </c>
    </row>
    <row r="9" spans="1:25" x14ac:dyDescent="0.5">
      <c r="A9" s="2" t="s">
        <v>35</v>
      </c>
      <c r="B9" s="2">
        <f>'Emisores (radiadores)'!N8</f>
        <v>839.87999999999988</v>
      </c>
      <c r="C9" s="2">
        <f>B9/(('Emisores (radiadores)'!E$2-'Emisores (radiadores)'!F$2)*1.16)</f>
        <v>36.201724137931031</v>
      </c>
      <c r="D9" s="2">
        <v>2</v>
      </c>
      <c r="E9" s="3">
        <f t="shared" si="6"/>
        <v>1.005603448275862E-2</v>
      </c>
      <c r="F9" s="4">
        <f t="shared" si="0"/>
        <v>36.201724137931031</v>
      </c>
      <c r="G9" s="5">
        <f t="shared" si="7"/>
        <v>1.005603448275862E-5</v>
      </c>
      <c r="H9" s="6">
        <f t="shared" si="8"/>
        <v>2.5301917680947308</v>
      </c>
      <c r="I9" s="7" t="s">
        <v>61</v>
      </c>
      <c r="J9" s="8">
        <v>12</v>
      </c>
      <c r="K9" s="9">
        <v>8.6</v>
      </c>
      <c r="L9" s="10">
        <v>0.03</v>
      </c>
      <c r="M9" s="11">
        <f t="shared" si="9"/>
        <v>0.17311710068508224</v>
      </c>
      <c r="N9" s="12">
        <f t="shared" si="10"/>
        <v>1488.8070658917072</v>
      </c>
      <c r="O9" s="13">
        <f t="shared" si="11"/>
        <v>3.4883720930232558E-3</v>
      </c>
      <c r="P9" s="13">
        <f t="shared" si="12"/>
        <v>5.9587932665738946E-2</v>
      </c>
      <c r="Q9" s="11">
        <f t="shared" si="13"/>
        <v>0.4</v>
      </c>
      <c r="R9" s="11">
        <f t="shared" si="4"/>
        <v>2.4</v>
      </c>
      <c r="S9" s="2">
        <v>0</v>
      </c>
      <c r="T9" s="11">
        <f t="shared" si="5"/>
        <v>2.5411433461438912E-2</v>
      </c>
      <c r="U9" s="2">
        <v>0</v>
      </c>
      <c r="V9" s="2">
        <v>0</v>
      </c>
      <c r="W9" s="2">
        <f t="shared" si="15"/>
        <v>13.71</v>
      </c>
      <c r="X9" s="14">
        <f t="shared" si="14"/>
        <v>13.684588566538562</v>
      </c>
      <c r="Y9" s="2">
        <v>25</v>
      </c>
    </row>
    <row r="10" spans="1:25" x14ac:dyDescent="0.5">
      <c r="A10" s="2" t="s">
        <v>36</v>
      </c>
      <c r="B10" s="2">
        <f>'Emisores (radiadores)'!N9</f>
        <v>419.93999999999994</v>
      </c>
      <c r="C10" s="2">
        <f>B10/(('Emisores (radiadores)'!E$2-'Emisores (radiadores)'!F$2)*1.16)</f>
        <v>18.100862068965515</v>
      </c>
      <c r="D10" s="2">
        <v>2</v>
      </c>
      <c r="E10" s="3">
        <f t="shared" si="6"/>
        <v>5.0280172413793098E-3</v>
      </c>
      <c r="F10" s="4">
        <f t="shared" si="0"/>
        <v>18.100862068965515</v>
      </c>
      <c r="G10" s="5">
        <f t="shared" si="7"/>
        <v>5.02801724137931E-6</v>
      </c>
      <c r="H10" s="6">
        <f t="shared" si="8"/>
        <v>1.7891157569221647</v>
      </c>
      <c r="I10" s="7" t="s">
        <v>61</v>
      </c>
      <c r="J10" s="8">
        <v>12</v>
      </c>
      <c r="K10" s="9">
        <v>8.6</v>
      </c>
      <c r="L10" s="10">
        <v>0.03</v>
      </c>
      <c r="M10" s="11">
        <f t="shared" si="9"/>
        <v>8.6558550342541118E-2</v>
      </c>
      <c r="N10" s="12">
        <f t="shared" si="10"/>
        <v>744.40353294585361</v>
      </c>
      <c r="O10" s="13">
        <f t="shared" si="11"/>
        <v>3.4883720930232558E-3</v>
      </c>
      <c r="P10" s="13">
        <f t="shared" si="12"/>
        <v>7.7234690260676198E-2</v>
      </c>
      <c r="Q10" s="11">
        <f t="shared" si="13"/>
        <v>0.4</v>
      </c>
      <c r="R10" s="11">
        <f t="shared" si="4"/>
        <v>2.4</v>
      </c>
      <c r="S10" s="2">
        <v>0</v>
      </c>
      <c r="T10" s="11">
        <f t="shared" si="5"/>
        <v>8.2342351239283375E-3</v>
      </c>
      <c r="U10" s="2">
        <v>0</v>
      </c>
      <c r="V10" s="2">
        <v>0</v>
      </c>
      <c r="W10" s="2">
        <f t="shared" si="15"/>
        <v>13.71</v>
      </c>
      <c r="X10" s="14">
        <f t="shared" si="14"/>
        <v>13.701765764876072</v>
      </c>
      <c r="Y10" s="2">
        <v>25</v>
      </c>
    </row>
    <row r="11" spans="1:25" x14ac:dyDescent="0.5">
      <c r="A11" s="2" t="s">
        <v>38</v>
      </c>
      <c r="B11" s="2">
        <f>'Emisores (radiadores)'!N6</f>
        <v>419.93999999999994</v>
      </c>
      <c r="C11" s="2">
        <f>B11/(('Emisores (radiadores)'!E$2-'Emisores (radiadores)'!F$2)*1.16)</f>
        <v>18.100862068965515</v>
      </c>
      <c r="D11" s="2">
        <v>1.5</v>
      </c>
      <c r="E11" s="3">
        <f t="shared" si="6"/>
        <v>5.0280172413793098E-3</v>
      </c>
      <c r="F11" s="4">
        <f t="shared" si="0"/>
        <v>18.100862068965515</v>
      </c>
      <c r="G11" s="5">
        <f t="shared" si="7"/>
        <v>5.02801724137931E-6</v>
      </c>
      <c r="H11" s="6">
        <f t="shared" si="8"/>
        <v>1.7891157569221647</v>
      </c>
      <c r="I11" s="7" t="s">
        <v>61</v>
      </c>
      <c r="J11" s="8">
        <v>12</v>
      </c>
      <c r="K11" s="9">
        <v>8.6</v>
      </c>
      <c r="L11" s="10">
        <v>0.03</v>
      </c>
      <c r="M11" s="11">
        <f t="shared" si="9"/>
        <v>8.6558550342541118E-2</v>
      </c>
      <c r="N11" s="12">
        <f t="shared" si="10"/>
        <v>744.40353294585361</v>
      </c>
      <c r="O11" s="13">
        <f t="shared" si="11"/>
        <v>3.4883720930232558E-3</v>
      </c>
      <c r="P11" s="13">
        <f t="shared" si="12"/>
        <v>7.7234690260676198E-2</v>
      </c>
      <c r="Q11" s="11">
        <f t="shared" si="13"/>
        <v>0.30000000000000004</v>
      </c>
      <c r="R11" s="11">
        <f t="shared" si="4"/>
        <v>1.8</v>
      </c>
      <c r="S11" s="2">
        <v>0</v>
      </c>
      <c r="T11" s="11">
        <f t="shared" si="5"/>
        <v>6.1756763429462527E-3</v>
      </c>
      <c r="U11" s="2">
        <v>0</v>
      </c>
      <c r="V11" s="2">
        <v>0</v>
      </c>
      <c r="W11" s="2">
        <f t="shared" si="15"/>
        <v>13.71</v>
      </c>
      <c r="X11" s="14">
        <f t="shared" si="14"/>
        <v>13.703824323657054</v>
      </c>
      <c r="Y11" s="2">
        <v>25</v>
      </c>
    </row>
    <row r="13" spans="1:25" x14ac:dyDescent="0.5">
      <c r="Q13" s="20"/>
      <c r="R13" s="20"/>
      <c r="T13" s="51"/>
    </row>
    <row r="14" spans="1:25" x14ac:dyDescent="0.5">
      <c r="T14" s="51"/>
    </row>
  </sheetData>
  <mergeCells count="1">
    <mergeCell ref="Q13:R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Inicio</vt:lpstr>
      <vt:lpstr>Cargas térmicas</vt:lpstr>
      <vt:lpstr>Emisores (radiadores)</vt:lpstr>
      <vt:lpstr>Tuberías</vt:lpstr>
      <vt:lpstr>'Cargas térmicas'!Área_de_impresión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2023-05-31T15:51:33Z</cp:lastPrinted>
  <dcterms:created xsi:type="dcterms:W3CDTF">2023-05-31T13:28:06Z</dcterms:created>
  <dcterms:modified xsi:type="dcterms:W3CDTF">2023-07-19T16:38:23Z</dcterms:modified>
</cp:coreProperties>
</file>