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0F2037C3-D175-43C2-8778-47630A1F1CEB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MR" sheetId="1" r:id="rId1"/>
    <sheet name="aux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O10" i="1" l="1"/>
  <c r="C7" i="1" l="1"/>
  <c r="C8" i="1" s="1"/>
  <c r="C25" i="1"/>
  <c r="C26" i="1" s="1"/>
  <c r="C9" i="1"/>
  <c r="C11" i="1" s="1"/>
  <c r="S17" i="1" l="1"/>
  <c r="S23" i="1"/>
  <c r="S11" i="1"/>
  <c r="S10" i="1"/>
  <c r="H8" i="1"/>
  <c r="S14" i="1"/>
  <c r="S20" i="1" l="1"/>
  <c r="S18" i="1"/>
  <c r="W16" i="1" s="1"/>
  <c r="S15" i="1"/>
  <c r="S12" i="1"/>
  <c r="AC22" i="1"/>
  <c r="S21" i="1" l="1"/>
  <c r="I9" i="1"/>
  <c r="I16" i="1"/>
  <c r="C15" i="1" l="1"/>
  <c r="C16" i="1" l="1"/>
  <c r="C23" i="1" s="1"/>
  <c r="C17" i="1"/>
  <c r="J13" i="1"/>
  <c r="J6" i="1"/>
  <c r="I13" i="1"/>
  <c r="I6" i="1"/>
  <c r="H15" i="1" l="1"/>
  <c r="H24" i="1" l="1"/>
  <c r="H23" i="1"/>
  <c r="I20" i="1"/>
  <c r="C24" i="1"/>
  <c r="C20" i="1"/>
  <c r="C19" i="1"/>
  <c r="F13" i="1"/>
  <c r="G13" i="1" s="1"/>
  <c r="F6" i="1"/>
  <c r="G6" i="1" s="1"/>
  <c r="C5" i="1"/>
  <c r="C6" i="1" s="1"/>
  <c r="S24" i="1" s="1"/>
  <c r="C4" i="1"/>
  <c r="X8" i="1" s="1"/>
  <c r="W9" i="1" l="1"/>
  <c r="H17" i="1"/>
  <c r="S13" i="1"/>
  <c r="S16" i="1"/>
  <c r="S19" i="1"/>
  <c r="W17" i="1" s="1"/>
  <c r="S22" i="1"/>
  <c r="C21" i="1"/>
  <c r="W5" i="1"/>
  <c r="H10" i="1"/>
  <c r="H16" i="1"/>
  <c r="W14" i="1" s="1"/>
  <c r="C22" i="1"/>
  <c r="C18" i="1"/>
  <c r="H9" i="1"/>
  <c r="W12" i="1" s="1"/>
  <c r="H19" i="1"/>
  <c r="H20" i="1" s="1"/>
  <c r="H25" i="1" l="1"/>
  <c r="H26" i="1"/>
  <c r="C27" i="1"/>
  <c r="D27" i="1" s="1"/>
  <c r="W13" i="1"/>
  <c r="W20" i="1" s="1"/>
  <c r="W15" i="1"/>
  <c r="AC4" i="1"/>
  <c r="AC21" i="1" s="1"/>
  <c r="W18" i="1"/>
  <c r="AC20" i="1"/>
  <c r="AC26" i="1"/>
  <c r="W6" i="1"/>
  <c r="AC5" i="1"/>
  <c r="AC6" i="1"/>
  <c r="W7" i="1"/>
  <c r="AC23" i="1" s="1"/>
  <c r="H21" i="1"/>
  <c r="C32" i="1" l="1"/>
  <c r="C33" i="1" s="1"/>
  <c r="C28" i="1"/>
  <c r="C29" i="1" s="1"/>
  <c r="Y8" i="1"/>
  <c r="W21" i="1"/>
  <c r="AC2" i="1" s="1"/>
  <c r="W19" i="1"/>
  <c r="X6" i="1" s="1"/>
  <c r="X2" i="1" s="1"/>
  <c r="AC24" i="1"/>
  <c r="AC25" i="1" s="1"/>
  <c r="AC27" i="1" s="1"/>
  <c r="AC16" i="1"/>
  <c r="S6" i="2"/>
  <c r="S2" i="2"/>
  <c r="S9" i="2"/>
  <c r="D33" i="1" l="1"/>
  <c r="D32" i="1"/>
  <c r="C34" i="1"/>
  <c r="C37" i="1" s="1"/>
  <c r="C31" i="1"/>
  <c r="C30" i="1"/>
  <c r="D30" i="1" s="1"/>
  <c r="D29" i="1"/>
  <c r="AC3" i="1"/>
  <c r="AD9" i="1" s="1"/>
  <c r="D28" i="1"/>
  <c r="N6" i="1" l="1"/>
  <c r="N7" i="1" s="1"/>
  <c r="D31" i="1"/>
  <c r="D37" i="1"/>
  <c r="N16" i="1"/>
  <c r="C36" i="1"/>
  <c r="C35" i="1"/>
  <c r="D34" i="1"/>
  <c r="Y6" i="1"/>
  <c r="Y2" i="1" s="1"/>
  <c r="AC9" i="1"/>
  <c r="AC14" i="1" s="1"/>
  <c r="T4" i="2"/>
  <c r="D36" i="1" l="1"/>
  <c r="N17" i="1"/>
  <c r="D35" i="1"/>
  <c r="L8" i="1"/>
  <c r="L9" i="1"/>
  <c r="N8" i="1"/>
  <c r="N9" i="1"/>
  <c r="AC11" i="1"/>
  <c r="AC13" i="1" s="1"/>
  <c r="AC10" i="1"/>
  <c r="AC12" i="1" s="1"/>
  <c r="N24" i="1" l="1"/>
  <c r="N30" i="1"/>
  <c r="N32" i="1" s="1"/>
  <c r="N18" i="1"/>
  <c r="N29" i="1"/>
  <c r="N21" i="1"/>
  <c r="N28" i="1"/>
  <c r="N20" i="1"/>
  <c r="N23" i="1"/>
  <c r="N19" i="1"/>
  <c r="N25" i="1" s="1"/>
  <c r="N10" i="1"/>
  <c r="AC15" i="1"/>
  <c r="AC17" i="1" s="1"/>
  <c r="N22" i="1" l="1"/>
  <c r="N26" i="1" s="1"/>
  <c r="N31" i="1"/>
  <c r="N33" i="1" s="1"/>
  <c r="N34" i="1" s="1"/>
  <c r="N27" i="1" l="1"/>
  <c r="N35" i="1" s="1"/>
  <c r="O26" i="1" l="1"/>
  <c r="O24" i="1"/>
  <c r="O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U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S&gt;0: tracción</t>
        </r>
      </text>
    </comment>
    <comment ref="L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N&gt;0: compresión</t>
        </r>
      </text>
    </comment>
    <comment ref="L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Absolute value</t>
        </r>
      </text>
    </comment>
    <comment ref="L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ε&gt;0: compression</t>
        </r>
      </text>
    </comment>
    <comment ref="A2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depending on bending sign (positive or negative)</t>
        </r>
      </text>
    </comment>
    <comment ref="F23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depending on bending sign (positive or negative)</t>
        </r>
      </text>
    </comment>
    <comment ref="L34" authorId="0" shapeId="0" xr:uid="{00000000-0006-0000-0000-000007000000}">
      <text>
        <r>
          <rPr>
            <sz val="9"/>
            <color indexed="81"/>
            <rFont val="Tahoma"/>
            <family val="2"/>
          </rPr>
          <t>equivalent definition to EHE-08</t>
        </r>
      </text>
    </comment>
    <comment ref="A3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at the fiber of the tensioned reinforcement</t>
        </r>
      </text>
    </comment>
  </commentList>
</comments>
</file>

<file path=xl/sharedStrings.xml><?xml version="1.0" encoding="utf-8"?>
<sst xmlns="http://schemas.openxmlformats.org/spreadsheetml/2006/main" count="382" uniqueCount="195">
  <si>
    <t>fck</t>
  </si>
  <si>
    <t>[N/mm2]</t>
  </si>
  <si>
    <t>fyk</t>
  </si>
  <si>
    <t>γc</t>
  </si>
  <si>
    <t>-</t>
  </si>
  <si>
    <t>γs</t>
  </si>
  <si>
    <t>fcd</t>
  </si>
  <si>
    <t>fyd</t>
  </si>
  <si>
    <t>b</t>
  </si>
  <si>
    <t>h</t>
  </si>
  <si>
    <t>[mm]</t>
  </si>
  <si>
    <t>cnom</t>
  </si>
  <si>
    <t>wall</t>
  </si>
  <si>
    <t>slab</t>
  </si>
  <si>
    <t>FORCES</t>
  </si>
  <si>
    <t>+</t>
  </si>
  <si>
    <t>[+/-]</t>
  </si>
  <si>
    <t>element</t>
  </si>
  <si>
    <t>top reinforcement</t>
  </si>
  <si>
    <t>Φ</t>
  </si>
  <si>
    <t>symmetry</t>
  </si>
  <si>
    <t>[Y/N]</t>
  </si>
  <si>
    <t>Y/N</t>
  </si>
  <si>
    <t>Y</t>
  </si>
  <si>
    <t>N</t>
  </si>
  <si>
    <t>distance or number</t>
  </si>
  <si>
    <t>dist/number</t>
  </si>
  <si>
    <t>distance</t>
  </si>
  <si>
    <t>Φ added</t>
  </si>
  <si>
    <t>min</t>
  </si>
  <si>
    <t>d' top</t>
  </si>
  <si>
    <t>[mm2]</t>
  </si>
  <si>
    <t>Us1</t>
  </si>
  <si>
    <t>[kN]</t>
  </si>
  <si>
    <t>As,top</t>
  </si>
  <si>
    <t>Us,top</t>
  </si>
  <si>
    <t>bottom reinforcement</t>
  </si>
  <si>
    <t>Slab</t>
  </si>
  <si>
    <t>Wall</t>
  </si>
  <si>
    <t>Minimum reinforcement</t>
  </si>
  <si>
    <t>horizontal</t>
  </si>
  <si>
    <t>vertical</t>
  </si>
  <si>
    <t>Us,tot</t>
  </si>
  <si>
    <t>As,tot</t>
  </si>
  <si>
    <t>ρ,top</t>
  </si>
  <si>
    <r>
      <t>[</t>
    </r>
    <r>
      <rPr>
        <sz val="11"/>
        <color theme="1"/>
        <rFont val="Calibri"/>
        <family val="2"/>
      </rPr>
      <t>‰</t>
    </r>
    <r>
      <rPr>
        <sz val="9.35"/>
        <color theme="1"/>
        <rFont val="Calibri"/>
        <family val="2"/>
      </rPr>
      <t>]</t>
    </r>
  </si>
  <si>
    <t>A</t>
  </si>
  <si>
    <t>ρ,tot</t>
  </si>
  <si>
    <t>vertical joints &lt;7.5m</t>
  </si>
  <si>
    <t>horizontal with joints</t>
  </si>
  <si>
    <t>horizontal without joints</t>
  </si>
  <si>
    <t>number/m</t>
  </si>
  <si>
    <t>total reinforcement</t>
  </si>
  <si>
    <t>covered</t>
  </si>
  <si>
    <t>CONSTRUCTION</t>
  </si>
  <si>
    <t>Nd</t>
  </si>
  <si>
    <t>[N]</t>
  </si>
  <si>
    <t>sign bending</t>
  </si>
  <si>
    <t>direction bending</t>
  </si>
  <si>
    <t>max</t>
  </si>
  <si>
    <t>y</t>
  </si>
  <si>
    <t>case</t>
  </si>
  <si>
    <t>y'</t>
  </si>
  <si>
    <t>d-</t>
  </si>
  <si>
    <t>d+</t>
  </si>
  <si>
    <t>B</t>
  </si>
  <si>
    <t>C</t>
  </si>
  <si>
    <t>x</t>
  </si>
  <si>
    <t>Fc</t>
  </si>
  <si>
    <t>Fc'</t>
  </si>
  <si>
    <t>Mr</t>
  </si>
  <si>
    <t>MR</t>
  </si>
  <si>
    <t>MOMENT RESISTANCE</t>
  </si>
  <si>
    <t>Us2</t>
  </si>
  <si>
    <t>d</t>
  </si>
  <si>
    <t>d'2</t>
  </si>
  <si>
    <t>ν</t>
  </si>
  <si>
    <t>ρ1</t>
  </si>
  <si>
    <t>correcciones antiguas</t>
  </si>
  <si>
    <t>domain</t>
  </si>
  <si>
    <t>[A/B/C]</t>
  </si>
  <si>
    <t>σs2&gt;0</t>
  </si>
  <si>
    <t>|σs2|&lt;fcd</t>
  </si>
  <si>
    <t>|σs2|=fcd</t>
  </si>
  <si>
    <t>z2</t>
  </si>
  <si>
    <t>z1</t>
  </si>
  <si>
    <t>σs2+</t>
  </si>
  <si>
    <t>correction</t>
  </si>
  <si>
    <t>Mr,corrected</t>
  </si>
  <si>
    <t>(parameters for correction)</t>
  </si>
  <si>
    <t>S</t>
  </si>
  <si>
    <t>Us,top,eff</t>
  </si>
  <si>
    <t>d' bot</t>
  </si>
  <si>
    <t>As,bot</t>
  </si>
  <si>
    <t>ρ,bot</t>
  </si>
  <si>
    <t>Us,bot</t>
  </si>
  <si>
    <t>Us,bot,eff</t>
  </si>
  <si>
    <t>fv'</t>
  </si>
  <si>
    <t>ξ</t>
  </si>
  <si>
    <t>fcv</t>
  </si>
  <si>
    <t>σ'cd</t>
  </si>
  <si>
    <t>don't account for S&gt;0</t>
  </si>
  <si>
    <t>EDGE BEAM</t>
  </si>
  <si>
    <t>ΦL</t>
  </si>
  <si>
    <t>nt</t>
  </si>
  <si>
    <t>Φt</t>
  </si>
  <si>
    <t>ntop</t>
  </si>
  <si>
    <t>nbot</t>
  </si>
  <si>
    <t>nlat</t>
  </si>
  <si>
    <t>Us,tot,consumed</t>
  </si>
  <si>
    <t>As,lat</t>
  </si>
  <si>
    <t>ρ,lat</t>
  </si>
  <si>
    <t>Us,lat</t>
  </si>
  <si>
    <t>As,t</t>
  </si>
  <si>
    <t>st</t>
  </si>
  <si>
    <t>Vcu</t>
  </si>
  <si>
    <t>Vsu</t>
  </si>
  <si>
    <t>VR</t>
  </si>
  <si>
    <r>
      <t>fy</t>
    </r>
    <r>
      <rPr>
        <sz val="11"/>
        <color theme="1"/>
        <rFont val="Calibri"/>
        <family val="2"/>
      </rPr>
      <t>α,d</t>
    </r>
  </si>
  <si>
    <t>Us,t</t>
  </si>
  <si>
    <t>EFFECTIVE REINFORCEMENT</t>
  </si>
  <si>
    <t>[kNm/m]</t>
  </si>
  <si>
    <t>[kN/m]</t>
  </si>
  <si>
    <t>repercussion on 1m!!</t>
  </si>
  <si>
    <t>Sprin,45</t>
  </si>
  <si>
    <t>(h/2-d')top</t>
  </si>
  <si>
    <t>(h/2-d')bot</t>
  </si>
  <si>
    <t>CRACKING (EHE-08)</t>
  </si>
  <si>
    <t>REINFORCEMENT &amp; MINIMUM (EHE-08)</t>
  </si>
  <si>
    <t>Ec</t>
  </si>
  <si>
    <t>Es</t>
  </si>
  <si>
    <t>n</t>
  </si>
  <si>
    <t>SHEAR RESISTANCE (EHE-08)</t>
  </si>
  <si>
    <t>Md,qp</t>
  </si>
  <si>
    <t>Ab</t>
  </si>
  <si>
    <t>Ib</t>
  </si>
  <si>
    <t>[mm4]</t>
  </si>
  <si>
    <t>Ah</t>
  </si>
  <si>
    <t>As2</t>
  </si>
  <si>
    <t>As1</t>
  </si>
  <si>
    <t>xh</t>
  </si>
  <si>
    <t>Ih</t>
  </si>
  <si>
    <t>Wb</t>
  </si>
  <si>
    <t>[mm3]</t>
  </si>
  <si>
    <t>fct,m</t>
  </si>
  <si>
    <t>fct,m,fl</t>
  </si>
  <si>
    <t>Md,c</t>
  </si>
  <si>
    <t>σc</t>
  </si>
  <si>
    <t>ρ2(d)</t>
  </si>
  <si>
    <t>ρ1(d)</t>
  </si>
  <si>
    <t>xf</t>
  </si>
  <si>
    <t>d'1</t>
  </si>
  <si>
    <t>If</t>
  </si>
  <si>
    <t>Compression cracking</t>
  </si>
  <si>
    <t>Tension cracking</t>
  </si>
  <si>
    <t>β</t>
  </si>
  <si>
    <t>Nd,c</t>
  </si>
  <si>
    <t>Nd,qp</t>
  </si>
  <si>
    <t>Mf,c</t>
  </si>
  <si>
    <t>Mf,qp</t>
  </si>
  <si>
    <t>REVISAR ALGORITMO</t>
  </si>
  <si>
    <t>Cracked?</t>
  </si>
  <si>
    <t>tension and compression reinforcement</t>
  </si>
  <si>
    <t>Af</t>
  </si>
  <si>
    <t>s</t>
  </si>
  <si>
    <t>distance 2</t>
  </si>
  <si>
    <t>distance 1</t>
  </si>
  <si>
    <t>W1f</t>
  </si>
  <si>
    <t>Wch</t>
  </si>
  <si>
    <t>Wth</t>
  </si>
  <si>
    <t>Wcf</t>
  </si>
  <si>
    <t>Wtf</t>
  </si>
  <si>
    <t>ε2==εc</t>
  </si>
  <si>
    <t>ε1==εt</t>
  </si>
  <si>
    <t>k1</t>
  </si>
  <si>
    <t>Ac,ef</t>
  </si>
  <si>
    <t>Φ1,max</t>
  </si>
  <si>
    <t>covering contribution</t>
  </si>
  <si>
    <t>distance contribution</t>
  </si>
  <si>
    <t>diameter contribution</t>
  </si>
  <si>
    <t>sm</t>
  </si>
  <si>
    <t>‰</t>
  </si>
  <si>
    <t>MATERIALS (EHE-08) and GEOMETRY</t>
  </si>
  <si>
    <t>k2</t>
  </si>
  <si>
    <t>loading</t>
  </si>
  <si>
    <t>instantaneous</t>
  </si>
  <si>
    <t>σsr</t>
  </si>
  <si>
    <t>σs</t>
  </si>
  <si>
    <t>εsm</t>
  </si>
  <si>
    <t>εs</t>
  </si>
  <si>
    <t>constant</t>
  </si>
  <si>
    <t>(σsr/σs)^2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</si>
  <si>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ε</t>
    </r>
  </si>
  <si>
    <t>wk</t>
  </si>
  <si>
    <t>wmax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</si>
</sst>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0" xfId="0" applyNumberFormat="1"/>
    <xf numFmtId="0" fontId="0" fillId="0" borderId="7" xfId="0" applyBorder="1"/>
    <xf numFmtId="0" fontId="0" fillId="0" borderId="0" xfId="0" applyBorder="1"/>
    <xf numFmtId="0" fontId="0" fillId="0" borderId="8" xfId="0" applyBorder="1"/>
    <xf numFmtId="1" fontId="0" fillId="0" borderId="0" xfId="0" applyNumberFormat="1"/>
    <xf numFmtId="0" fontId="0" fillId="0" borderId="0" xfId="0" applyFill="1" applyBorder="1"/>
    <xf numFmtId="0" fontId="1" fillId="0" borderId="0" xfId="0" applyFont="1" applyFill="1" applyBorder="1"/>
    <xf numFmtId="164" fontId="0" fillId="0" borderId="0" xfId="0" applyNumberFormat="1"/>
    <xf numFmtId="1" fontId="0" fillId="2" borderId="0" xfId="0" applyNumberFormat="1" applyFill="1"/>
    <xf numFmtId="0" fontId="0" fillId="2" borderId="0" xfId="0" applyFill="1"/>
    <xf numFmtId="0" fontId="1" fillId="4" borderId="1" xfId="0" applyFont="1" applyFill="1" applyBorder="1"/>
    <xf numFmtId="0" fontId="0" fillId="4" borderId="7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1" fillId="4" borderId="5" xfId="0" applyFont="1" applyFill="1" applyBorder="1"/>
    <xf numFmtId="0" fontId="0" fillId="4" borderId="8" xfId="0" applyFill="1" applyBorder="1"/>
    <xf numFmtId="0" fontId="0" fillId="4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2" xfId="0" applyFill="1" applyBorder="1"/>
    <xf numFmtId="1" fontId="0" fillId="0" borderId="0" xfId="0" applyNumberFormat="1" applyAlignment="1">
      <alignment horizontal="right"/>
    </xf>
    <xf numFmtId="0" fontId="1" fillId="4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165" fontId="0" fillId="0" borderId="0" xfId="0" applyNumberFormat="1"/>
    <xf numFmtId="0" fontId="0" fillId="0" borderId="7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0" fillId="0" borderId="8" xfId="0" applyFill="1" applyBorder="1"/>
    <xf numFmtId="0" fontId="0" fillId="0" borderId="6" xfId="0" applyFill="1" applyBorder="1"/>
    <xf numFmtId="0" fontId="0" fillId="0" borderId="12" xfId="0" applyBorder="1"/>
    <xf numFmtId="0" fontId="0" fillId="5" borderId="0" xfId="0" applyFill="1"/>
    <xf numFmtId="1" fontId="0" fillId="5" borderId="0" xfId="0" applyNumberFormat="1" applyFill="1"/>
    <xf numFmtId="0" fontId="0" fillId="0" borderId="0" xfId="0" applyFill="1" applyBorder="1" applyAlignment="1"/>
    <xf numFmtId="9" fontId="0" fillId="0" borderId="0" xfId="1" applyFont="1" applyAlignment="1"/>
    <xf numFmtId="9" fontId="0" fillId="0" borderId="0" xfId="1" applyFont="1" applyAlignment="1">
      <alignment horizontal="right"/>
    </xf>
    <xf numFmtId="0" fontId="0" fillId="0" borderId="0" xfId="0" applyFont="1"/>
    <xf numFmtId="0" fontId="0" fillId="4" borderId="0" xfId="0" applyFill="1" applyBorder="1" applyAlignment="1"/>
    <xf numFmtId="0" fontId="0" fillId="4" borderId="0" xfId="0" applyFill="1"/>
    <xf numFmtId="1" fontId="0" fillId="4" borderId="0" xfId="0" applyNumberFormat="1" applyFill="1"/>
    <xf numFmtId="0" fontId="0" fillId="3" borderId="0" xfId="0" applyFill="1"/>
    <xf numFmtId="1" fontId="0" fillId="3" borderId="0" xfId="0" applyNumberFormat="1" applyFill="1"/>
    <xf numFmtId="0" fontId="0" fillId="6" borderId="0" xfId="0" applyFill="1"/>
    <xf numFmtId="166" fontId="0" fillId="0" borderId="0" xfId="0" applyNumberFormat="1"/>
    <xf numFmtId="9" fontId="0" fillId="0" borderId="0" xfId="1" applyFont="1"/>
    <xf numFmtId="164" fontId="0" fillId="0" borderId="0" xfId="0" applyNumberFormat="1" applyBorder="1" applyAlignment="1"/>
    <xf numFmtId="11" fontId="0" fillId="0" borderId="17" xfId="0" applyNumberFormat="1" applyBorder="1"/>
    <xf numFmtId="11" fontId="0" fillId="0" borderId="20" xfId="0" applyNumberFormat="1" applyBorder="1"/>
    <xf numFmtId="0" fontId="0" fillId="0" borderId="13" xfId="0" applyBorder="1"/>
    <xf numFmtId="0" fontId="0" fillId="0" borderId="14" xfId="0" applyBorder="1"/>
    <xf numFmtId="1" fontId="0" fillId="0" borderId="15" xfId="0" applyNumberFormat="1" applyBorder="1"/>
    <xf numFmtId="0" fontId="0" fillId="0" borderId="16" xfId="0" applyFill="1" applyBorder="1" applyAlignment="1"/>
    <xf numFmtId="1" fontId="0" fillId="0" borderId="17" xfId="0" applyNumberFormat="1" applyBorder="1" applyAlignment="1"/>
    <xf numFmtId="11" fontId="0" fillId="0" borderId="17" xfId="0" applyNumberFormat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3" xfId="0" applyFill="1" applyBorder="1" applyAlignment="1"/>
    <xf numFmtId="164" fontId="0" fillId="0" borderId="16" xfId="0" applyNumberFormat="1" applyBorder="1" applyAlignment="1"/>
    <xf numFmtId="0" fontId="0" fillId="0" borderId="0" xfId="0" applyFont="1" applyFill="1" applyBorder="1"/>
    <xf numFmtId="0" fontId="0" fillId="0" borderId="0" xfId="0" applyFill="1"/>
    <xf numFmtId="11" fontId="0" fillId="0" borderId="0" xfId="0" applyNumberFormat="1" applyBorder="1"/>
    <xf numFmtId="0" fontId="0" fillId="0" borderId="14" xfId="0" applyFill="1" applyBorder="1" applyAlignment="1"/>
    <xf numFmtId="1" fontId="0" fillId="0" borderId="15" xfId="0" applyNumberFormat="1" applyBorder="1" applyAlignment="1"/>
    <xf numFmtId="1" fontId="0" fillId="0" borderId="17" xfId="0" applyNumberFormat="1" applyBorder="1"/>
    <xf numFmtId="0" fontId="0" fillId="3" borderId="0" xfId="0" applyFont="1" applyFill="1"/>
    <xf numFmtId="0" fontId="0" fillId="4" borderId="0" xfId="0" applyFont="1" applyFill="1"/>
    <xf numFmtId="0" fontId="0" fillId="0" borderId="0" xfId="0" applyFont="1" applyFill="1"/>
    <xf numFmtId="0" fontId="1" fillId="3" borderId="0" xfId="0" applyFont="1" applyFill="1"/>
    <xf numFmtId="2" fontId="0" fillId="3" borderId="0" xfId="0" applyNumberFormat="1" applyFill="1"/>
    <xf numFmtId="0" fontId="1" fillId="4" borderId="0" xfId="0" applyFont="1" applyFill="1"/>
    <xf numFmtId="2" fontId="0" fillId="4" borderId="0" xfId="0" applyNumberFormat="1" applyFill="1"/>
    <xf numFmtId="0" fontId="0" fillId="0" borderId="9" xfId="0" applyBorder="1"/>
    <xf numFmtId="0" fontId="0" fillId="0" borderId="10" xfId="0" applyBorder="1"/>
    <xf numFmtId="0" fontId="0" fillId="0" borderId="1" xfId="0" applyFont="1" applyFill="1" applyBorder="1"/>
    <xf numFmtId="2" fontId="0" fillId="0" borderId="11" xfId="0" applyNumberFormat="1" applyBorder="1"/>
    <xf numFmtId="1" fontId="0" fillId="0" borderId="0" xfId="0" applyNumberFormat="1" applyFill="1"/>
  </cellXfs>
  <cellStyles count="2">
    <cellStyle name="Normal" xfId="0" builtinId="0"/>
    <cellStyle name="Porcentaje" xfId="1" builtinId="5"/>
  </cellStyles>
  <dxfs count="1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zoomScale="85" zoomScaleNormal="85" workbookViewId="0">
      <selection activeCell="S4" sqref="S4"/>
    </sheetView>
  </sheetViews>
  <sheetFormatPr baseColWidth="10" defaultRowHeight="15" x14ac:dyDescent="0.25"/>
  <cols>
    <col min="1" max="1" width="19.42578125" bestFit="1" customWidth="1"/>
    <col min="2" max="2" width="9.140625" bestFit="1" customWidth="1"/>
    <col min="3" max="3" width="8.7109375" bestFit="1" customWidth="1"/>
    <col min="4" max="4" width="5.28515625" bestFit="1" customWidth="1"/>
    <col min="5" max="5" width="1.85546875" style="7" customWidth="1"/>
    <col min="6" max="6" width="13.28515625" customWidth="1"/>
    <col min="7" max="7" width="6.85546875" bestFit="1" customWidth="1"/>
    <col min="8" max="8" width="10.7109375" bestFit="1" customWidth="1"/>
    <col min="9" max="9" width="5.28515625" bestFit="1" customWidth="1"/>
    <col min="10" max="10" width="5.140625" style="7" bestFit="1" customWidth="1"/>
    <col min="11" max="11" width="3.42578125" style="7" customWidth="1"/>
    <col min="12" max="12" width="10.140625" style="7" hidden="1" customWidth="1"/>
    <col min="13" max="13" width="9.140625" style="7" hidden="1" customWidth="1"/>
    <col min="14" max="14" width="9.85546875" style="7" hidden="1" customWidth="1"/>
    <col min="15" max="15" width="6.140625" style="7" hidden="1" customWidth="1"/>
    <col min="16" max="16" width="2.85546875" customWidth="1"/>
    <col min="17" max="17" width="11.42578125" bestFit="1" customWidth="1"/>
    <col min="18" max="18" width="6.85546875" bestFit="1" customWidth="1"/>
    <col min="19" max="19" width="12.28515625" bestFit="1" customWidth="1"/>
    <col min="20" max="20" width="4.7109375" customWidth="1"/>
    <col min="21" max="21" width="16.42578125" customWidth="1"/>
    <col min="22" max="22" width="9.140625" bestFit="1" customWidth="1"/>
    <col min="23" max="23" width="7.85546875" bestFit="1" customWidth="1"/>
    <col min="24" max="24" width="7" customWidth="1"/>
    <col min="25" max="25" width="6.7109375" customWidth="1"/>
    <col min="26" max="26" width="4.7109375" customWidth="1"/>
    <col min="27" max="27" width="13.42578125" customWidth="1"/>
    <col min="30" max="30" width="6.85546875" customWidth="1"/>
    <col min="31" max="31" width="4.140625" bestFit="1" customWidth="1"/>
    <col min="32" max="32" width="5.140625" bestFit="1" customWidth="1"/>
    <col min="33" max="33" width="4" customWidth="1"/>
  </cols>
  <sheetData>
    <row r="1" spans="1:33" x14ac:dyDescent="0.25">
      <c r="A1" s="2" t="s">
        <v>182</v>
      </c>
      <c r="B1" s="2"/>
      <c r="C1" s="2"/>
      <c r="F1" t="s">
        <v>128</v>
      </c>
      <c r="L1" s="7" t="s">
        <v>127</v>
      </c>
      <c r="Q1" t="s">
        <v>102</v>
      </c>
      <c r="S1" s="51" t="s">
        <v>23</v>
      </c>
      <c r="U1" t="s">
        <v>14</v>
      </c>
      <c r="X1" t="s">
        <v>29</v>
      </c>
      <c r="Y1" t="s">
        <v>59</v>
      </c>
      <c r="AA1" t="s">
        <v>72</v>
      </c>
    </row>
    <row r="2" spans="1:33" x14ac:dyDescent="0.25">
      <c r="A2" s="9" t="s">
        <v>0</v>
      </c>
      <c r="B2" s="16" t="s">
        <v>1</v>
      </c>
      <c r="C2" s="10">
        <v>30</v>
      </c>
      <c r="F2" s="9" t="s">
        <v>20</v>
      </c>
      <c r="G2" s="16" t="s">
        <v>21</v>
      </c>
      <c r="H2" s="10" t="s">
        <v>24</v>
      </c>
      <c r="Q2" s="44" t="s">
        <v>8</v>
      </c>
      <c r="R2" s="42" t="s">
        <v>10</v>
      </c>
      <c r="S2" s="43">
        <v>250</v>
      </c>
      <c r="U2" s="34" t="s">
        <v>90</v>
      </c>
      <c r="V2" s="35" t="s">
        <v>1</v>
      </c>
      <c r="W2" s="36">
        <v>0</v>
      </c>
      <c r="X2" s="22">
        <f>X6*1000/$C$24</f>
        <v>-24.567602536349682</v>
      </c>
      <c r="Y2" s="22">
        <f>Y6*1000/$C$24</f>
        <v>4.5676025363496811</v>
      </c>
      <c r="AA2" t="s">
        <v>73</v>
      </c>
      <c r="AB2" s="7" t="s">
        <v>33</v>
      </c>
      <c r="AC2" s="19">
        <f>IF(W3=aux!B3,W20,W21)</f>
        <v>502.6548245743669</v>
      </c>
    </row>
    <row r="3" spans="1:33" x14ac:dyDescent="0.25">
      <c r="A3" s="13" t="s">
        <v>2</v>
      </c>
      <c r="B3" s="18" t="s">
        <v>1</v>
      </c>
      <c r="C3" s="14">
        <v>500</v>
      </c>
      <c r="F3" s="13" t="s">
        <v>25</v>
      </c>
      <c r="G3" s="18"/>
      <c r="H3" s="14" t="s">
        <v>27</v>
      </c>
      <c r="L3" s="7" t="s">
        <v>153</v>
      </c>
      <c r="Q3" s="47" t="s">
        <v>103</v>
      </c>
      <c r="R3" s="20" t="s">
        <v>10</v>
      </c>
      <c r="S3" s="46">
        <v>12</v>
      </c>
      <c r="U3" s="11" t="s">
        <v>57</v>
      </c>
      <c r="V3" s="17" t="s">
        <v>16</v>
      </c>
      <c r="W3" s="12" t="s">
        <v>15</v>
      </c>
      <c r="AA3" t="s">
        <v>32</v>
      </c>
      <c r="AB3" s="7" t="s">
        <v>33</v>
      </c>
      <c r="AC3" s="19">
        <f>IF(W3=aux!B3,W21,W20)</f>
        <v>639.24580951305347</v>
      </c>
    </row>
    <row r="4" spans="1:33" x14ac:dyDescent="0.25">
      <c r="A4" s="7" t="s">
        <v>6</v>
      </c>
      <c r="B4" s="7" t="s">
        <v>1</v>
      </c>
      <c r="C4" s="22">
        <f>C2/aux!N2</f>
        <v>20</v>
      </c>
      <c r="F4" t="s">
        <v>18</v>
      </c>
      <c r="L4" s="9" t="s">
        <v>156</v>
      </c>
      <c r="M4" s="16" t="s">
        <v>122</v>
      </c>
      <c r="N4" s="10">
        <v>0</v>
      </c>
      <c r="Q4" s="45" t="s">
        <v>106</v>
      </c>
      <c r="R4" s="20" t="s">
        <v>4</v>
      </c>
      <c r="S4" s="46">
        <v>2</v>
      </c>
      <c r="U4" s="13" t="s">
        <v>58</v>
      </c>
      <c r="V4" s="18" t="s">
        <v>4</v>
      </c>
      <c r="W4" s="14" t="s">
        <v>41</v>
      </c>
      <c r="AA4" s="21" t="s">
        <v>77</v>
      </c>
      <c r="AB4" s="7" t="s">
        <v>45</v>
      </c>
      <c r="AC4" s="22">
        <f>IF(W3=aux!B3,W14,W12)</f>
        <v>5.8810614475200929</v>
      </c>
    </row>
    <row r="5" spans="1:33" x14ac:dyDescent="0.25">
      <c r="A5" s="7" t="s">
        <v>7</v>
      </c>
      <c r="B5" s="7" t="s">
        <v>1</v>
      </c>
      <c r="C5" s="19">
        <f>C3/aux!O2</f>
        <v>434.78260869565219</v>
      </c>
      <c r="F5" s="25" t="s">
        <v>19</v>
      </c>
      <c r="G5" s="26" t="s">
        <v>10</v>
      </c>
      <c r="H5" s="27">
        <v>8</v>
      </c>
      <c r="I5" s="1" t="s">
        <v>29</v>
      </c>
      <c r="J5" s="1" t="s">
        <v>59</v>
      </c>
      <c r="K5" s="1"/>
      <c r="L5" s="13" t="s">
        <v>146</v>
      </c>
      <c r="M5" s="18" t="s">
        <v>121</v>
      </c>
      <c r="N5" s="14">
        <v>0</v>
      </c>
      <c r="Q5" s="45" t="s">
        <v>107</v>
      </c>
      <c r="R5" s="20" t="s">
        <v>4</v>
      </c>
      <c r="S5" s="46">
        <v>2</v>
      </c>
      <c r="U5" t="s">
        <v>55</v>
      </c>
      <c r="V5" t="s">
        <v>56</v>
      </c>
      <c r="W5">
        <f>W2*C24</f>
        <v>0</v>
      </c>
      <c r="X5" s="20" t="s">
        <v>29</v>
      </c>
      <c r="Y5" s="20" t="s">
        <v>59</v>
      </c>
      <c r="AA5" t="s">
        <v>84</v>
      </c>
      <c r="AB5" s="7" t="s">
        <v>10</v>
      </c>
      <c r="AC5" s="19">
        <f>IF(W3=aux!B3,C17,C18)</f>
        <v>82</v>
      </c>
    </row>
    <row r="6" spans="1:33" x14ac:dyDescent="0.25">
      <c r="A6" s="20" t="s">
        <v>118</v>
      </c>
      <c r="B6" s="7" t="s">
        <v>1</v>
      </c>
      <c r="C6" s="19">
        <f>MIN(400,C5)</f>
        <v>400</v>
      </c>
      <c r="F6" s="28" t="str">
        <f>$H$3</f>
        <v>distance</v>
      </c>
      <c r="G6" s="29" t="str">
        <f>IF(F6=aux!F2,"[mm]","-")</f>
        <v>[mm]</v>
      </c>
      <c r="H6" s="30">
        <v>200</v>
      </c>
      <c r="I6">
        <f>IF($H$3=aux!$F$2,IF(H7=aux!D2,100,200),0)</f>
        <v>100</v>
      </c>
      <c r="J6" s="7">
        <f>IF($H$3=aux!$F$3,IF(H7=aux!D2,10,5),1000)</f>
        <v>1000</v>
      </c>
      <c r="L6" s="58" t="s">
        <v>158</v>
      </c>
      <c r="M6" s="59" t="s">
        <v>121</v>
      </c>
      <c r="N6" s="60">
        <f>C31*(C8+N4*1000/C27)/1000000</f>
        <v>41.877124518175634</v>
      </c>
      <c r="Q6" s="45" t="s">
        <v>108</v>
      </c>
      <c r="R6" s="20" t="s">
        <v>4</v>
      </c>
      <c r="S6" s="46">
        <v>0</v>
      </c>
      <c r="U6" t="s">
        <v>55</v>
      </c>
      <c r="V6" t="s">
        <v>33</v>
      </c>
      <c r="W6">
        <f>W5/1000</f>
        <v>0</v>
      </c>
      <c r="X6" s="37">
        <f>(-W19*1000-C24*C4)/1000</f>
        <v>-6141.9006340874203</v>
      </c>
      <c r="Y6" s="19">
        <f>IF(AC3&gt;AC2,W19,2*AC3)</f>
        <v>1141.9006340874203</v>
      </c>
      <c r="AA6" s="7" t="s">
        <v>85</v>
      </c>
      <c r="AB6" s="7" t="s">
        <v>10</v>
      </c>
      <c r="AC6" s="19">
        <f>IF(W3=aux!B3,C18,C17)</f>
        <v>78</v>
      </c>
    </row>
    <row r="7" spans="1:33" x14ac:dyDescent="0.25">
      <c r="A7" s="20" t="s">
        <v>144</v>
      </c>
      <c r="B7" s="7" t="s">
        <v>1</v>
      </c>
      <c r="C7" s="22">
        <f>IF(C2&gt;50,0.58*C2^0.5,0.3*C2^(2/3))</f>
        <v>2.896468153816889</v>
      </c>
      <c r="F7" s="31" t="s">
        <v>28</v>
      </c>
      <c r="G7" s="32" t="s">
        <v>10</v>
      </c>
      <c r="H7" s="33"/>
      <c r="L7" s="20" t="s">
        <v>161</v>
      </c>
      <c r="N7" s="7" t="str">
        <f>IF(N6&gt;N5,aux!E3,aux!E2)</f>
        <v>N</v>
      </c>
      <c r="Q7" s="45" t="s">
        <v>104</v>
      </c>
      <c r="R7" s="20" t="s">
        <v>4</v>
      </c>
      <c r="S7" s="46">
        <v>2</v>
      </c>
      <c r="U7" s="8" t="s">
        <v>76</v>
      </c>
      <c r="V7" t="s">
        <v>4</v>
      </c>
      <c r="W7" s="15">
        <f>IF(W5&gt;0,"",-W5/(C24*C4))</f>
        <v>0</v>
      </c>
      <c r="X7" t="s">
        <v>29</v>
      </c>
      <c r="Y7" t="s">
        <v>59</v>
      </c>
      <c r="AE7" s="19"/>
    </row>
    <row r="8" spans="1:33" x14ac:dyDescent="0.25">
      <c r="A8" s="20" t="s">
        <v>145</v>
      </c>
      <c r="B8" s="7" t="s">
        <v>1</v>
      </c>
      <c r="C8" s="22">
        <f>C7*MAX((1.6-C13/1000),1)</f>
        <v>3.9102320076528003</v>
      </c>
      <c r="F8" s="8" t="s">
        <v>34</v>
      </c>
      <c r="G8" t="s">
        <v>31</v>
      </c>
      <c r="H8" s="19">
        <f>IF(H5=aux!$D$2,0,(IF($H$3=aux!$F$2,$C$12/H6,H6*$C$12/1000))*PI()/4*(H5^2+H7^2))</f>
        <v>251.32741228718345</v>
      </c>
      <c r="I8" s="1" t="s">
        <v>29</v>
      </c>
      <c r="J8" s="1"/>
      <c r="K8" s="1"/>
      <c r="L8" s="20" t="str">
        <f>CONCATENATE("A=A",IF(N7=aux!E3,"h","f"))</f>
        <v>A=Ah</v>
      </c>
      <c r="M8" s="17" t="s">
        <v>31</v>
      </c>
      <c r="N8" s="19">
        <f>IF(N7=aux!E3,C27,C33)</f>
        <v>254899.81162314833</v>
      </c>
      <c r="Q8" s="47" t="s">
        <v>105</v>
      </c>
      <c r="R8" s="20" t="s">
        <v>10</v>
      </c>
      <c r="S8" s="46">
        <v>8</v>
      </c>
      <c r="U8" s="38" t="s">
        <v>124</v>
      </c>
      <c r="V8" s="39" t="s">
        <v>1</v>
      </c>
      <c r="W8" s="40">
        <v>0</v>
      </c>
      <c r="X8" s="22">
        <f>-C4</f>
        <v>-20</v>
      </c>
      <c r="Y8" s="22">
        <f>2*MIN(W13,W15)*1000/(C24*2^0.5)</f>
        <v>2.843445080421354</v>
      </c>
    </row>
    <row r="9" spans="1:33" x14ac:dyDescent="0.25">
      <c r="A9" s="20" t="s">
        <v>129</v>
      </c>
      <c r="B9" s="7" t="s">
        <v>1</v>
      </c>
      <c r="C9" s="19">
        <f>8500*(C2+8)^(1/3)</f>
        <v>28576.790957791181</v>
      </c>
      <c r="F9" s="21" t="s">
        <v>44</v>
      </c>
      <c r="G9" t="s">
        <v>45</v>
      </c>
      <c r="H9" s="22">
        <f>H8/$C$24*1000</f>
        <v>1.0053096491487337</v>
      </c>
      <c r="I9" s="22">
        <f>IF(H32=aux!A3,0,IF(C13&gt;500,500/C13,1)*IF(W4=aux!C2,(IF(W3=aux!B2,1,0.3))*(IF(C3&lt;500,aux!L6,aux!M6)),IF(H34=aux!E3,0.5*(IF(H33=aux!E2,aux!L5,IF(C3&lt;500,aux!L4,aux!M4))),0)))</f>
        <v>0</v>
      </c>
      <c r="J9" s="22"/>
      <c r="K9" s="22"/>
      <c r="L9" s="54" t="str">
        <f>CONCATENATE("Wc=Wc",IF(N7=aux!E3,"h","f"))</f>
        <v>Wc=Wch</v>
      </c>
      <c r="M9" s="54" t="s">
        <v>143</v>
      </c>
      <c r="N9" s="67">
        <f>IF(N7=aux!E3,C30,C35)</f>
        <v>10615282.32983152</v>
      </c>
      <c r="O9" s="7" t="s">
        <v>59</v>
      </c>
      <c r="Q9" s="48" t="s">
        <v>114</v>
      </c>
      <c r="R9" s="49" t="s">
        <v>10</v>
      </c>
      <c r="S9" s="50">
        <v>150</v>
      </c>
      <c r="U9" s="21" t="s">
        <v>109</v>
      </c>
      <c r="V9" t="s">
        <v>33</v>
      </c>
      <c r="W9" s="19">
        <f>W8*2^0.5*C24/1000</f>
        <v>0</v>
      </c>
      <c r="AA9" t="s">
        <v>79</v>
      </c>
      <c r="AB9" t="s">
        <v>80</v>
      </c>
      <c r="AC9" t="str">
        <f>IF(AC3&lt;W6,aux!G2,IF(AC3-AC2&lt;W6,aux!G3,aux!G4))</f>
        <v>C</v>
      </c>
      <c r="AD9" t="str">
        <f>IF(AC3&lt;W6,aux!H2,IF(AC3-AC2&lt;W6,aux!H3,aux!H4))</f>
        <v>|σs2|=fcd</v>
      </c>
    </row>
    <row r="10" spans="1:33" x14ac:dyDescent="0.25">
      <c r="A10" s="20" t="s">
        <v>130</v>
      </c>
      <c r="B10" s="7" t="s">
        <v>1</v>
      </c>
      <c r="C10">
        <v>200000</v>
      </c>
      <c r="F10" s="21" t="s">
        <v>35</v>
      </c>
      <c r="G10" t="s">
        <v>33</v>
      </c>
      <c r="H10" s="19">
        <f>H8*$C$5/1000</f>
        <v>109.27278795094934</v>
      </c>
      <c r="L10" s="54" t="s">
        <v>147</v>
      </c>
      <c r="M10" s="54" t="s">
        <v>1</v>
      </c>
      <c r="N10" s="22">
        <f>N4*1000/N8+N5*1000000/N9</f>
        <v>0</v>
      </c>
      <c r="O10" s="22">
        <f>0.6*C2</f>
        <v>18</v>
      </c>
      <c r="Q10" s="20" t="s">
        <v>46</v>
      </c>
      <c r="R10" s="20" t="s">
        <v>31</v>
      </c>
      <c r="S10" s="19">
        <f>S2*C13</f>
        <v>62500</v>
      </c>
      <c r="AA10" t="s">
        <v>68</v>
      </c>
      <c r="AB10" t="s">
        <v>33</v>
      </c>
      <c r="AC10" s="19">
        <f>IF(AC9=aux!G4,AC3-AC2-W6,0)</f>
        <v>136.59098493868657</v>
      </c>
    </row>
    <row r="11" spans="1:33" x14ac:dyDescent="0.25">
      <c r="A11" s="20" t="s">
        <v>131</v>
      </c>
      <c r="B11" t="s">
        <v>4</v>
      </c>
      <c r="C11" s="22">
        <f>C10/C9</f>
        <v>6.9986864618706237</v>
      </c>
      <c r="F11" s="7" t="s">
        <v>36</v>
      </c>
      <c r="G11" s="7"/>
      <c r="H11" s="7"/>
      <c r="I11" s="7"/>
      <c r="Q11" s="8" t="s">
        <v>34</v>
      </c>
      <c r="R11" s="7" t="s">
        <v>31</v>
      </c>
      <c r="S11" s="19">
        <f>IF($S$1=aux!E3,0,S4*PI()/4*$S$3^2)</f>
        <v>226.1946710584651</v>
      </c>
      <c r="U11" t="s">
        <v>120</v>
      </c>
      <c r="AA11" t="s">
        <v>69</v>
      </c>
      <c r="AB11" s="7" t="s">
        <v>33</v>
      </c>
      <c r="AC11" s="19">
        <f>IF(AC9=aux!G2,0,AC3-W6)</f>
        <v>639.24580951305347</v>
      </c>
    </row>
    <row r="12" spans="1:33" x14ac:dyDescent="0.25">
      <c r="A12" s="17" t="s">
        <v>8</v>
      </c>
      <c r="B12" s="17" t="s">
        <v>10</v>
      </c>
      <c r="C12" s="17">
        <v>1000</v>
      </c>
      <c r="F12" s="25" t="s">
        <v>19</v>
      </c>
      <c r="G12" s="26" t="s">
        <v>10</v>
      </c>
      <c r="H12" s="27">
        <v>12</v>
      </c>
      <c r="I12" s="1" t="s">
        <v>29</v>
      </c>
      <c r="J12" s="1" t="s">
        <v>59</v>
      </c>
      <c r="K12" s="1"/>
      <c r="L12" s="7" t="s">
        <v>154</v>
      </c>
      <c r="Q12" s="21" t="s">
        <v>44</v>
      </c>
      <c r="R12" s="7" t="s">
        <v>45</v>
      </c>
      <c r="S12" s="22">
        <f>S11/$S$10*1000</f>
        <v>3.6191147369354417</v>
      </c>
      <c r="U12" s="21" t="s">
        <v>44</v>
      </c>
      <c r="V12" s="7" t="s">
        <v>45</v>
      </c>
      <c r="W12" s="22">
        <f>H9+S12</f>
        <v>4.6244243860841756</v>
      </c>
      <c r="AA12" t="s">
        <v>60</v>
      </c>
      <c r="AB12" t="s">
        <v>10</v>
      </c>
      <c r="AC12" s="19">
        <f>AC10*1000/($C$12*$C$4)</f>
        <v>6.8295492469343282</v>
      </c>
    </row>
    <row r="13" spans="1:33" x14ac:dyDescent="0.25">
      <c r="A13" s="9" t="s">
        <v>9</v>
      </c>
      <c r="B13" s="16" t="s">
        <v>10</v>
      </c>
      <c r="C13" s="10">
        <v>250</v>
      </c>
      <c r="F13" s="28" t="str">
        <f>$H$3</f>
        <v>distance</v>
      </c>
      <c r="G13" s="29" t="str">
        <f>IF(F13=aux!F2,"[mm]","-")</f>
        <v>[mm]</v>
      </c>
      <c r="H13" s="30">
        <v>200</v>
      </c>
      <c r="I13" s="7">
        <f>IF($H$3=aux!$F$2,IF(H14=aux!D2,100,200),0)</f>
        <v>100</v>
      </c>
      <c r="J13" s="7">
        <f>IF($H$3=aux!$F$3,IF(H14=aux!D2,10,5),1000)</f>
        <v>1000</v>
      </c>
      <c r="L13" s="94" t="s">
        <v>184</v>
      </c>
      <c r="M13" s="42" t="s">
        <v>4</v>
      </c>
      <c r="N13" s="10" t="s">
        <v>190</v>
      </c>
      <c r="Q13" s="21" t="s">
        <v>35</v>
      </c>
      <c r="R13" s="7" t="s">
        <v>33</v>
      </c>
      <c r="S13" s="19">
        <f>S11*$C$5/1000</f>
        <v>98.345509155854387</v>
      </c>
      <c r="U13" s="21" t="s">
        <v>35</v>
      </c>
      <c r="V13" s="7" t="s">
        <v>122</v>
      </c>
      <c r="W13" s="19">
        <f>H10+S13*C12/S2</f>
        <v>502.6548245743669</v>
      </c>
      <c r="AA13" t="s">
        <v>62</v>
      </c>
      <c r="AB13" t="s">
        <v>10</v>
      </c>
      <c r="AC13" s="19">
        <f>AC11*1000/($C$12*$C$4)</f>
        <v>31.962290475652676</v>
      </c>
      <c r="AF13" s="15"/>
    </row>
    <row r="14" spans="1:33" x14ac:dyDescent="0.25">
      <c r="A14" s="13" t="s">
        <v>11</v>
      </c>
      <c r="B14" s="18" t="s">
        <v>10</v>
      </c>
      <c r="C14" s="14">
        <v>35</v>
      </c>
      <c r="F14" s="31" t="s">
        <v>28</v>
      </c>
      <c r="G14" s="32" t="s">
        <v>10</v>
      </c>
      <c r="H14" s="33">
        <v>0</v>
      </c>
      <c r="L14" s="11" t="s">
        <v>157</v>
      </c>
      <c r="M14" s="17" t="s">
        <v>122</v>
      </c>
      <c r="N14" s="12">
        <v>0</v>
      </c>
      <c r="Q14" s="8" t="s">
        <v>93</v>
      </c>
      <c r="R14" s="7" t="s">
        <v>31</v>
      </c>
      <c r="S14" s="19">
        <f>IF($S$1=aux!E3,0,S5*PI()/4*$S$3^2)</f>
        <v>226.1946710584651</v>
      </c>
      <c r="U14" s="21" t="s">
        <v>94</v>
      </c>
      <c r="V14" s="7" t="s">
        <v>45</v>
      </c>
      <c r="W14" s="22">
        <f>H16+S15</f>
        <v>5.8810614475200929</v>
      </c>
      <c r="AA14" t="s">
        <v>86</v>
      </c>
      <c r="AB14" t="s">
        <v>1</v>
      </c>
      <c r="AC14" s="19" t="str">
        <f>IF(AC9=aux!G2,(W6-AC3)/AC2*C5,"")</f>
        <v/>
      </c>
      <c r="AD14" s="63" t="s">
        <v>160</v>
      </c>
    </row>
    <row r="15" spans="1:33" x14ac:dyDescent="0.25">
      <c r="A15" t="s">
        <v>30</v>
      </c>
      <c r="B15" t="s">
        <v>10</v>
      </c>
      <c r="C15">
        <f>C14+MAX(H5,H7)*(IF(H32=aux!A3,1,IF(W4=aux!C2,0.5,1.5)))</f>
        <v>43</v>
      </c>
      <c r="F15" s="8" t="s">
        <v>93</v>
      </c>
      <c r="G15" s="7" t="s">
        <v>31</v>
      </c>
      <c r="H15" s="19">
        <f>IF(H2=aux!E2,H8,IF(H12=aux!$D$2,0,(IF($H$3=aux!$F$2,$C$12/H13,H13*$C$12/1000))*PI()/4*(H12^2+H14^2)))</f>
        <v>565.48667764616278</v>
      </c>
      <c r="I15" s="1" t="s">
        <v>29</v>
      </c>
      <c r="L15" s="13" t="s">
        <v>133</v>
      </c>
      <c r="M15" s="18" t="s">
        <v>121</v>
      </c>
      <c r="N15" s="14">
        <v>471</v>
      </c>
      <c r="Q15" s="21" t="s">
        <v>94</v>
      </c>
      <c r="R15" s="7" t="s">
        <v>45</v>
      </c>
      <c r="S15" s="22">
        <f>S14/$S$10*1000</f>
        <v>3.6191147369354417</v>
      </c>
      <c r="U15" s="21" t="s">
        <v>95</v>
      </c>
      <c r="V15" s="7" t="s">
        <v>122</v>
      </c>
      <c r="W15" s="19">
        <f>H17+S16*C12/S2</f>
        <v>639.24580951305347</v>
      </c>
      <c r="AA15" t="s">
        <v>70</v>
      </c>
      <c r="AB15" t="s">
        <v>121</v>
      </c>
      <c r="AC15" s="19">
        <f>IF(OR(W6&lt;X6,W6&gt;Y6),0,AC3*1000*AC6+(IF(AC9="A",-1000*(W6-AC3)*AC5,IF(AC9="B",AC11*1000*MAX(AC5,C13/2-AC13/2),MAX(1000*AC2*AC5+1000*AC10*(C13/2-AC12/2),1000*AC11*(C13/2-AC13/2))))))/1000000</f>
        <v>119.5510192066499</v>
      </c>
      <c r="AD15" t="s">
        <v>89</v>
      </c>
    </row>
    <row r="16" spans="1:33" x14ac:dyDescent="0.25">
      <c r="A16" s="7" t="s">
        <v>92</v>
      </c>
      <c r="B16" s="7" t="s">
        <v>10</v>
      </c>
      <c r="C16">
        <f>IF(H2=aux!E2,C15,C14+MAX(H12,H14))</f>
        <v>47</v>
      </c>
      <c r="F16" s="21" t="s">
        <v>94</v>
      </c>
      <c r="G16" s="7" t="s">
        <v>45</v>
      </c>
      <c r="H16" s="22">
        <f>H15/$C$24*1000</f>
        <v>2.2619467105846511</v>
      </c>
      <c r="I16" s="22">
        <f>IF(H32=aux!A3,0,IF(C13&gt;500,500/C13,1)*IF(W4=aux!C2,(IF(W3=aux!B3,1,0.3))*(IF(C3&lt;500,aux!L6,aux!M6)),IF(H34=aux!E3,0.5*(IF(H33=aux!E2,aux!L5,IF(C3&lt;500,aux!L4,aux!M4))),0)))</f>
        <v>0</v>
      </c>
      <c r="J16" s="22"/>
      <c r="K16" s="22"/>
      <c r="L16" s="58" t="s">
        <v>159</v>
      </c>
      <c r="M16" s="59" t="s">
        <v>121</v>
      </c>
      <c r="N16" s="60">
        <f>C31*(C8+N14*1000/C27)/1000000</f>
        <v>41.877124518175634</v>
      </c>
      <c r="Q16" s="21" t="s">
        <v>95</v>
      </c>
      <c r="R16" s="7" t="s">
        <v>33</v>
      </c>
      <c r="S16" s="19">
        <f>S14*$C$5/1000</f>
        <v>98.345509155854387</v>
      </c>
      <c r="U16" s="21" t="s">
        <v>111</v>
      </c>
      <c r="V16" s="7" t="s">
        <v>45</v>
      </c>
      <c r="W16" s="22">
        <f>S18</f>
        <v>0</v>
      </c>
      <c r="AA16" t="s">
        <v>87</v>
      </c>
      <c r="AB16" t="s">
        <v>4</v>
      </c>
      <c r="AC16" s="15">
        <f>IF(W2&gt;-0.5,1,(1-(AD16*W7)^AE16)*(W7+AF16)^(AC4/AG16))</f>
        <v>1</v>
      </c>
      <c r="AD16">
        <v>1.1000000000000001</v>
      </c>
      <c r="AE16">
        <v>1.9</v>
      </c>
      <c r="AF16">
        <v>0.75</v>
      </c>
      <c r="AG16">
        <v>6</v>
      </c>
    </row>
    <row r="17" spans="1:30" x14ac:dyDescent="0.25">
      <c r="A17" s="20" t="s">
        <v>125</v>
      </c>
      <c r="B17" s="7" t="s">
        <v>10</v>
      </c>
      <c r="C17">
        <f>C13/2-C15</f>
        <v>82</v>
      </c>
      <c r="F17" s="21" t="s">
        <v>95</v>
      </c>
      <c r="G17" s="7" t="s">
        <v>33</v>
      </c>
      <c r="H17" s="19">
        <f>H15*$C$5/1000</f>
        <v>245.86377288963598</v>
      </c>
      <c r="L17" s="20" t="s">
        <v>161</v>
      </c>
      <c r="N17" s="7" t="str">
        <f>IF(N16&gt;N15,aux!E3,aux!E2)</f>
        <v>Y</v>
      </c>
      <c r="Q17" s="8" t="s">
        <v>110</v>
      </c>
      <c r="R17" s="7" t="s">
        <v>31</v>
      </c>
      <c r="S17" s="19">
        <f>IF($S$1=aux!E3,0,S6*PI()/4*$S$3^2)</f>
        <v>0</v>
      </c>
      <c r="U17" s="21" t="s">
        <v>112</v>
      </c>
      <c r="V17" s="7" t="s">
        <v>122</v>
      </c>
      <c r="W17" s="19">
        <f>S19*C12/S2</f>
        <v>0</v>
      </c>
      <c r="AA17" s="52" t="s">
        <v>88</v>
      </c>
      <c r="AB17" s="52" t="s">
        <v>121</v>
      </c>
      <c r="AC17" s="53">
        <f>AC15*AC16</f>
        <v>119.5510192066499</v>
      </c>
    </row>
    <row r="18" spans="1:30" x14ac:dyDescent="0.25">
      <c r="A18" s="20" t="s">
        <v>126</v>
      </c>
      <c r="B18" s="7" t="s">
        <v>10</v>
      </c>
      <c r="C18">
        <f>C13/2-C16</f>
        <v>78</v>
      </c>
      <c r="F18" t="s">
        <v>52</v>
      </c>
      <c r="L18" s="57" t="s">
        <v>155</v>
      </c>
      <c r="M18" s="7" t="s">
        <v>4</v>
      </c>
      <c r="N18" s="7">
        <f>IF(N17=aux!E3,"",1.7)</f>
        <v>1.7</v>
      </c>
      <c r="Q18" s="21" t="s">
        <v>111</v>
      </c>
      <c r="R18" s="7" t="s">
        <v>45</v>
      </c>
      <c r="S18" s="22">
        <f>S17/$S$10*1000</f>
        <v>0</v>
      </c>
      <c r="U18" s="21" t="s">
        <v>47</v>
      </c>
      <c r="V18" s="7" t="s">
        <v>45</v>
      </c>
      <c r="W18" s="22">
        <f>W12+W14+W16</f>
        <v>10.505485833604268</v>
      </c>
    </row>
    <row r="19" spans="1:30" x14ac:dyDescent="0.25">
      <c r="A19" s="20" t="s">
        <v>63</v>
      </c>
      <c r="B19" s="7" t="s">
        <v>10</v>
      </c>
      <c r="C19">
        <f>C13-C15</f>
        <v>207</v>
      </c>
      <c r="F19" t="s">
        <v>43</v>
      </c>
      <c r="G19" t="s">
        <v>31</v>
      </c>
      <c r="H19" s="19">
        <f>H8+H15</f>
        <v>816.81408993334617</v>
      </c>
      <c r="I19" s="1" t="s">
        <v>29</v>
      </c>
      <c r="J19" s="1"/>
      <c r="K19" s="1"/>
      <c r="L19" s="79" t="s">
        <v>164</v>
      </c>
      <c r="M19" s="7" t="s">
        <v>10</v>
      </c>
      <c r="N19" s="19">
        <f>IF(N17=aux!E3,"",MIN(15*H29,H28))</f>
        <v>180</v>
      </c>
      <c r="Q19" s="21" t="s">
        <v>112</v>
      </c>
      <c r="R19" s="7" t="s">
        <v>33</v>
      </c>
      <c r="S19" s="19">
        <f>S17*$C$5/1000</f>
        <v>0</v>
      </c>
      <c r="U19" s="7" t="s">
        <v>42</v>
      </c>
      <c r="V19" s="7" t="s">
        <v>122</v>
      </c>
      <c r="W19" s="19">
        <f>W13+W15+W17</f>
        <v>1141.9006340874203</v>
      </c>
      <c r="AA19" t="s">
        <v>132</v>
      </c>
      <c r="AC19" s="19"/>
    </row>
    <row r="20" spans="1:30" x14ac:dyDescent="0.25">
      <c r="A20" s="20" t="s">
        <v>64</v>
      </c>
      <c r="B20" s="7" t="s">
        <v>10</v>
      </c>
      <c r="C20">
        <f>C13-C16</f>
        <v>203</v>
      </c>
      <c r="F20" s="21" t="s">
        <v>47</v>
      </c>
      <c r="G20" s="7" t="s">
        <v>45</v>
      </c>
      <c r="H20" s="22">
        <f>H19/$C$24*1000</f>
        <v>3.2672563597333846</v>
      </c>
      <c r="I20">
        <f>IF(H32=aux!A3,IF(C3&lt;500,aux!L3,aux!M3),IF(AND(H32=aux!A2,W4=aux!C3,H34=aux!E2),IF(H33=aux!E2,aux!L5,IF(C3&lt;500,aux!L4,aux!M4)),0))</f>
        <v>1.8</v>
      </c>
      <c r="L20" s="57" t="s">
        <v>172</v>
      </c>
      <c r="M20" s="8" t="s">
        <v>181</v>
      </c>
      <c r="N20" s="15">
        <f>IF(N17=aux!E3,"",1000/C9*(N14*1000/C33+N15*1000000/C35))</f>
        <v>3.496861863632017</v>
      </c>
      <c r="Q20" s="7" t="s">
        <v>43</v>
      </c>
      <c r="R20" s="7" t="s">
        <v>31</v>
      </c>
      <c r="S20" s="19">
        <f>S11+S14+S17</f>
        <v>452.38934211693021</v>
      </c>
      <c r="U20" s="21" t="s">
        <v>91</v>
      </c>
      <c r="V20" s="7" t="s">
        <v>122</v>
      </c>
      <c r="W20" s="19">
        <f>W13-MAX(0,W9-W17)/2</f>
        <v>502.6548245743669</v>
      </c>
      <c r="AA20" s="8" t="s">
        <v>98</v>
      </c>
      <c r="AB20" t="s">
        <v>4</v>
      </c>
      <c r="AC20" s="15">
        <f>MIN(1+(200/C21)^0.5,2)</f>
        <v>1.9925833339709302</v>
      </c>
    </row>
    <row r="21" spans="1:30" x14ac:dyDescent="0.25">
      <c r="A21" s="59" t="s">
        <v>74</v>
      </c>
      <c r="B21" s="59" t="s">
        <v>10</v>
      </c>
      <c r="C21" s="60">
        <f>IF(W3=aux!B3,C20,C19)</f>
        <v>203</v>
      </c>
      <c r="F21" t="s">
        <v>42</v>
      </c>
      <c r="G21" s="7" t="s">
        <v>33</v>
      </c>
      <c r="H21" s="19">
        <f>H10+H17</f>
        <v>355.13656084058533</v>
      </c>
      <c r="L21" s="57" t="s">
        <v>173</v>
      </c>
      <c r="M21" s="8" t="s">
        <v>181</v>
      </c>
      <c r="N21" s="15">
        <f>IF(N17=aux!E3,"",1000/C9*(N14*1000/C33-N15*1000000/C37))</f>
        <v>-20.280502906349685</v>
      </c>
      <c r="Q21" s="21" t="s">
        <v>47</v>
      </c>
      <c r="R21" s="7" t="s">
        <v>45</v>
      </c>
      <c r="S21" s="22">
        <f>S20/$S$10*1000</f>
        <v>7.2382294738708834</v>
      </c>
      <c r="U21" s="21" t="s">
        <v>96</v>
      </c>
      <c r="V21" s="7" t="s">
        <v>122</v>
      </c>
      <c r="W21" s="19">
        <f>W15-MAX(0,W9-W17)/2</f>
        <v>639.24580951305347</v>
      </c>
      <c r="AA21" s="21" t="s">
        <v>77</v>
      </c>
      <c r="AB21" t="s">
        <v>4</v>
      </c>
      <c r="AC21" s="41">
        <f>MIN(0.02,AC4/1000*C13/C21)</f>
        <v>7.2426865117242523E-3</v>
      </c>
    </row>
    <row r="22" spans="1:30" x14ac:dyDescent="0.25">
      <c r="A22" s="59" t="s">
        <v>75</v>
      </c>
      <c r="B22" s="59" t="s">
        <v>10</v>
      </c>
      <c r="C22" s="59">
        <f>IF(W3=aux!B3,C15,C16)</f>
        <v>43</v>
      </c>
      <c r="F22" t="s">
        <v>162</v>
      </c>
      <c r="L22" s="57" t="s">
        <v>174</v>
      </c>
      <c r="M22" s="8" t="s">
        <v>181</v>
      </c>
      <c r="N22" s="64">
        <f>IF(N17=aux!E3,"",MAX(0.125,(N21+N20)/(8*N21)))</f>
        <v>0.125</v>
      </c>
      <c r="Q22" s="7" t="s">
        <v>42</v>
      </c>
      <c r="R22" s="7" t="s">
        <v>33</v>
      </c>
      <c r="S22" s="19">
        <f>S20*$C$5/1000</f>
        <v>196.69101831170877</v>
      </c>
      <c r="U22" s="21"/>
      <c r="V22" s="7"/>
      <c r="AA22" s="21" t="s">
        <v>99</v>
      </c>
      <c r="AB22" s="7" t="s">
        <v>1</v>
      </c>
      <c r="AC22" s="19">
        <f>MIN(C2,60)</f>
        <v>30</v>
      </c>
    </row>
    <row r="23" spans="1:30" x14ac:dyDescent="0.25">
      <c r="A23" s="59" t="s">
        <v>151</v>
      </c>
      <c r="B23" s="59" t="s">
        <v>10</v>
      </c>
      <c r="C23" s="59">
        <f>IF(W3=aux!B3,C16,C15)</f>
        <v>47</v>
      </c>
      <c r="F23" s="7" t="s">
        <v>138</v>
      </c>
      <c r="G23" s="7" t="s">
        <v>31</v>
      </c>
      <c r="H23" s="19">
        <f>IF(W3=aux!B3,H8,H15)</f>
        <v>251.32741228718345</v>
      </c>
      <c r="L23" s="57" t="s">
        <v>175</v>
      </c>
      <c r="M23" s="7" t="s">
        <v>31</v>
      </c>
      <c r="N23" s="7">
        <f>IF(N17=aux!E3,"",C13/4*C12*MIN(1,(15*H29)/H28))</f>
        <v>56250</v>
      </c>
      <c r="Q23" s="8" t="s">
        <v>113</v>
      </c>
      <c r="R23" s="7" t="s">
        <v>31</v>
      </c>
      <c r="S23" s="19">
        <f>IF($S$1=aux!E3,0,S7*PI()/4*$S$8^2)</f>
        <v>100.53096491487338</v>
      </c>
      <c r="AA23" s="21" t="s">
        <v>100</v>
      </c>
      <c r="AB23" s="7" t="s">
        <v>1</v>
      </c>
      <c r="AC23" s="22">
        <f>IF(W2&gt;0,0,MIN(0.3*C4,W7*C4,12))</f>
        <v>0</v>
      </c>
    </row>
    <row r="24" spans="1:30" x14ac:dyDescent="0.25">
      <c r="A24" s="20" t="s">
        <v>134</v>
      </c>
      <c r="B24" s="20" t="s">
        <v>31</v>
      </c>
      <c r="C24" s="17">
        <f>C12*C13</f>
        <v>250000</v>
      </c>
      <c r="F24" s="7" t="s">
        <v>139</v>
      </c>
      <c r="G24" s="7" t="s">
        <v>31</v>
      </c>
      <c r="H24" s="19">
        <f>IF(W3=aux!B3,H15,H8)</f>
        <v>565.48667764616278</v>
      </c>
      <c r="I24" s="7"/>
      <c r="L24" s="86" t="s">
        <v>177</v>
      </c>
      <c r="M24" s="59"/>
      <c r="N24" s="60">
        <f>IF(N17=aux!E3,"",2*C14)</f>
        <v>70</v>
      </c>
      <c r="O24" s="65">
        <f>IF(N17=aux!E3,"",N24/N27)</f>
        <v>0.42249329264060353</v>
      </c>
      <c r="Q24" s="21" t="s">
        <v>119</v>
      </c>
      <c r="R24" s="7" t="s">
        <v>33</v>
      </c>
      <c r="S24" s="19">
        <f>S23*C6/1000</f>
        <v>40.212385965949352</v>
      </c>
      <c r="AA24" t="s">
        <v>97</v>
      </c>
      <c r="AB24" t="s">
        <v>1</v>
      </c>
      <c r="AC24" s="15">
        <f>1/aux!N2*MAX(IF($S$1=aux!E3,0.18,0.15)*AC20*(100*AC21*AC22)^(1/3),0.075*AC20^1.5*AC22^0.5)+0.15*AC23</f>
        <v>0.7702919726291948</v>
      </c>
    </row>
    <row r="25" spans="1:30" x14ac:dyDescent="0.25">
      <c r="A25" s="20" t="s">
        <v>135</v>
      </c>
      <c r="B25" s="17" t="s">
        <v>136</v>
      </c>
      <c r="C25" s="81">
        <f>C12*C13^3/12</f>
        <v>1302083333.3333333</v>
      </c>
      <c r="F25" s="7" t="s">
        <v>148</v>
      </c>
      <c r="G25" s="7" t="s">
        <v>45</v>
      </c>
      <c r="H25" s="22">
        <f>1000*H23/(C12*C21)</f>
        <v>1.238066070380214</v>
      </c>
      <c r="I25" s="7"/>
      <c r="L25" s="86" t="s">
        <v>178</v>
      </c>
      <c r="M25" s="59"/>
      <c r="N25" s="60">
        <f>IF(N17=aux!E3,"",0.2*N19)</f>
        <v>36</v>
      </c>
      <c r="O25" s="65">
        <f>IF(N17=aux!E3,"",N25/N27)</f>
        <v>0.2172822647865961</v>
      </c>
      <c r="AA25" s="24" t="s">
        <v>115</v>
      </c>
      <c r="AB25" s="24" t="s">
        <v>122</v>
      </c>
      <c r="AC25" s="23">
        <f>AC24*C12*C21/1000</f>
        <v>156.36927044372652</v>
      </c>
      <c r="AD25" t="s">
        <v>101</v>
      </c>
    </row>
    <row r="26" spans="1:30" x14ac:dyDescent="0.25">
      <c r="A26" s="20" t="s">
        <v>142</v>
      </c>
      <c r="B26" s="17" t="s">
        <v>143</v>
      </c>
      <c r="C26" s="81">
        <f>C25/(C13/2)</f>
        <v>10416666.666666666</v>
      </c>
      <c r="F26" s="7" t="s">
        <v>149</v>
      </c>
      <c r="G26" s="7" t="s">
        <v>45</v>
      </c>
      <c r="H26" s="22">
        <f>1000*H24/(C12*C21)</f>
        <v>2.7856486583554818</v>
      </c>
      <c r="I26" s="7"/>
      <c r="L26" s="86" t="s">
        <v>179</v>
      </c>
      <c r="M26" s="59"/>
      <c r="N26" s="60">
        <f>IF(N17=aux!E3,"",0.4*N22*H29*N23/H24)</f>
        <v>59.683103659460762</v>
      </c>
      <c r="O26" s="65">
        <f>IF(N17=aux!E3,"",N26/N27)</f>
        <v>0.36022444257280045</v>
      </c>
      <c r="AA26" s="24" t="s">
        <v>116</v>
      </c>
      <c r="AB26" s="24" t="s">
        <v>122</v>
      </c>
      <c r="AC26" s="23">
        <f>0.9*C21/S9*S24*C12/S2</f>
        <v>195.91474442610527</v>
      </c>
      <c r="AD26" t="s">
        <v>123</v>
      </c>
    </row>
    <row r="27" spans="1:30" x14ac:dyDescent="0.25">
      <c r="A27" s="69" t="s">
        <v>137</v>
      </c>
      <c r="B27" s="70" t="s">
        <v>31</v>
      </c>
      <c r="C27" s="71">
        <f>C24+(C11-1)*H19</f>
        <v>254899.81162314833</v>
      </c>
      <c r="D27" s="1" t="str">
        <f>CONCATENATE("+",TEXT(C27/C24-1,"#%"))</f>
        <v>+2%</v>
      </c>
      <c r="F27" t="s">
        <v>165</v>
      </c>
      <c r="G27" s="80" t="s">
        <v>10</v>
      </c>
      <c r="H27" s="96">
        <f>IF(H3=aux!F2,IF(W3=aux!B3,IF(H7=0,H6,H6/2),IF(H14=0,H13,H13/2)),1000/IF(W3=aux!B3,IF(H7=0,H6,H6*2),IF(H14=0,H13,H13*2)))</f>
        <v>200</v>
      </c>
      <c r="I27" s="7"/>
      <c r="L27" s="85" t="s">
        <v>180</v>
      </c>
      <c r="M27" s="61" t="s">
        <v>10</v>
      </c>
      <c r="N27" s="62">
        <f>IF(N17=aux!E3,"",N24+N25+N26)</f>
        <v>165.68310365946076</v>
      </c>
      <c r="AA27" s="52" t="s">
        <v>117</v>
      </c>
      <c r="AB27" s="52" t="s">
        <v>122</v>
      </c>
      <c r="AC27" s="53">
        <f>AC25+AC26</f>
        <v>352.28401486983182</v>
      </c>
    </row>
    <row r="28" spans="1:30" x14ac:dyDescent="0.25">
      <c r="A28" s="72" t="s">
        <v>140</v>
      </c>
      <c r="B28" s="54" t="s">
        <v>10</v>
      </c>
      <c r="C28" s="73">
        <f>(C12*C13^2/2+(C11-1)*(H23*C22+H24*C21))/C27</f>
        <v>125.55301653780946</v>
      </c>
      <c r="D28" s="1" t="str">
        <f>CONCATENATE(IF(H23&lt;H24,"+",""),TEXT(C28/(C13/2)-1,"#%"))</f>
        <v>+%</v>
      </c>
      <c r="F28" t="s">
        <v>166</v>
      </c>
      <c r="G28" t="s">
        <v>10</v>
      </c>
      <c r="H28" s="19">
        <f>IF(H3=aux!F2,IF(W3=aux!B2,IF(H7=0,H6,H6/2),IF(H14=0,H13,H13/2)),1000/IF(W3=aux!B2,IF(H7=0,H6,H6*2),IF(H14=0,H13,H13*2)))</f>
        <v>200</v>
      </c>
      <c r="I28" s="7"/>
      <c r="L28" s="87" t="s">
        <v>183</v>
      </c>
      <c r="M28" s="80" t="s">
        <v>4</v>
      </c>
      <c r="N28" s="22">
        <f>IF(N17=aux!E3,"",IF(N13=aux!P2,1,0.5))</f>
        <v>0.5</v>
      </c>
      <c r="Q28" s="8"/>
    </row>
    <row r="29" spans="1:30" x14ac:dyDescent="0.25">
      <c r="A29" s="72" t="s">
        <v>141</v>
      </c>
      <c r="B29" s="54" t="s">
        <v>136</v>
      </c>
      <c r="C29" s="74">
        <f>C25+C24*(C13/2-C28)^2+(C11-1)*(H23*(C28-C22)^2+H24*(C21-C28)^2)</f>
        <v>1332780717.9108534</v>
      </c>
      <c r="D29" s="1" t="str">
        <f>CONCATENATE("+",TEXT(C29/C25-1,"#%"))</f>
        <v>+2%</v>
      </c>
      <c r="F29" s="7" t="s">
        <v>176</v>
      </c>
      <c r="G29" s="7" t="s">
        <v>10</v>
      </c>
      <c r="H29" s="19">
        <f>IF(W3=aux!B3,MAX(H12,H14),MAX(H5,H7))</f>
        <v>12</v>
      </c>
      <c r="L29" s="54" t="s">
        <v>186</v>
      </c>
      <c r="M29" s="7" t="s">
        <v>1</v>
      </c>
      <c r="N29" s="19">
        <f>IF(N17=aux!E3,"",C11*(N14*1000/C33+N16*1000000/C36))</f>
        <v>281.14324604897939</v>
      </c>
    </row>
    <row r="30" spans="1:30" x14ac:dyDescent="0.25">
      <c r="A30" s="72" t="s">
        <v>168</v>
      </c>
      <c r="B30" s="54" t="s">
        <v>143</v>
      </c>
      <c r="C30" s="67">
        <f>C29/C28</f>
        <v>10615282.32983152</v>
      </c>
      <c r="D30" s="1" t="str">
        <f>CONCATENATE("+",TEXT(C30/C26-1,"#%"))</f>
        <v>+2%</v>
      </c>
      <c r="E30" s="1"/>
      <c r="L30" s="54" t="s">
        <v>187</v>
      </c>
      <c r="M30" s="7" t="s">
        <v>1</v>
      </c>
      <c r="N30" s="19">
        <f>IF(N17=aux!E3,"",C11*(N14*1000/C33+N15*1000000/C36))</f>
        <v>3162.0716659186246</v>
      </c>
    </row>
    <row r="31" spans="1:30" x14ac:dyDescent="0.25">
      <c r="A31" s="72" t="s">
        <v>169</v>
      </c>
      <c r="B31" s="54" t="s">
        <v>143</v>
      </c>
      <c r="C31" s="67">
        <f>C29/(C13-C28)</f>
        <v>10709626.548045486</v>
      </c>
      <c r="D31" s="1" t="str">
        <f>CONCATENATE("+",TEXT(C31/C26-1,"#%"))</f>
        <v>+3%</v>
      </c>
      <c r="E31" s="1"/>
      <c r="F31" t="s">
        <v>54</v>
      </c>
      <c r="L31" s="54" t="s">
        <v>191</v>
      </c>
      <c r="M31" s="8" t="s">
        <v>4</v>
      </c>
      <c r="N31" s="15">
        <f>IF(N17=aux!E3,"",(N29/N30)^2)</f>
        <v>7.9051823509215455E-3</v>
      </c>
    </row>
    <row r="32" spans="1:30" x14ac:dyDescent="0.25">
      <c r="A32" s="77" t="s">
        <v>150</v>
      </c>
      <c r="B32" s="82" t="s">
        <v>10</v>
      </c>
      <c r="C32" s="83">
        <f>C21*C11*H26/1000*(1+H25/H26)*(-1+(1+2*(1+H25/H26*C23/C21)/(C11*H26/1000*(1+H25/H26)^2))^0.5)</f>
        <v>36.766709615006548</v>
      </c>
      <c r="D32" s="55">
        <f>-(1-C32/(C13/2))</f>
        <v>-0.70586632307994757</v>
      </c>
      <c r="E32" s="1"/>
      <c r="F32" s="9" t="s">
        <v>17</v>
      </c>
      <c r="G32" s="16" t="s">
        <v>4</v>
      </c>
      <c r="H32" s="10" t="s">
        <v>13</v>
      </c>
      <c r="L32" s="59" t="s">
        <v>189</v>
      </c>
      <c r="M32" s="90" t="s">
        <v>181</v>
      </c>
      <c r="N32" s="91">
        <f>IF(N17=aux!E3,"",1000*N30/C10)</f>
        <v>15.810358329593122</v>
      </c>
    </row>
    <row r="33" spans="1:15" x14ac:dyDescent="0.25">
      <c r="A33" s="72" t="s">
        <v>163</v>
      </c>
      <c r="B33" s="17" t="s">
        <v>31</v>
      </c>
      <c r="C33" s="84">
        <f>C12*C32+(C11-1)*H23+C11*H24</f>
        <v>42232.007915801049</v>
      </c>
      <c r="D33" s="65">
        <f>-(1-C33/C24)</f>
        <v>-0.83107196833679575</v>
      </c>
      <c r="E33" s="1"/>
      <c r="F33" s="11" t="s">
        <v>48</v>
      </c>
      <c r="G33" s="17" t="s">
        <v>21</v>
      </c>
      <c r="H33" s="12" t="s">
        <v>24</v>
      </c>
      <c r="L33" s="59" t="s">
        <v>192</v>
      </c>
      <c r="M33" s="90" t="s">
        <v>181</v>
      </c>
      <c r="N33" s="91">
        <f>IF(N17=aux!E3,"",-N32*N28*N31)</f>
        <v>-6.2491882814422493E-2</v>
      </c>
      <c r="O33" s="15"/>
    </row>
    <row r="34" spans="1:15" x14ac:dyDescent="0.25">
      <c r="A34" s="78" t="s">
        <v>152</v>
      </c>
      <c r="B34" s="66" t="s">
        <v>136</v>
      </c>
      <c r="C34" s="74">
        <f>C11*H24*(C21-C32)*(C21-C32/3)+(C11-1)*H23*(C32-C21)*(C32/3-C21)</f>
        <v>173294084.28087553</v>
      </c>
      <c r="D34" s="55">
        <f>-(1-C34/C25)</f>
        <v>-0.86691014327228755</v>
      </c>
      <c r="E34" s="1"/>
      <c r="F34" s="13" t="s">
        <v>53</v>
      </c>
      <c r="G34" s="18" t="s">
        <v>21</v>
      </c>
      <c r="H34" s="14" t="s">
        <v>24</v>
      </c>
      <c r="L34" s="85" t="s">
        <v>188</v>
      </c>
      <c r="M34" s="88" t="s">
        <v>181</v>
      </c>
      <c r="N34" s="89">
        <f>IF(N17=aux!E3,"",MAX(0.4*N32,N32+N33))</f>
        <v>15.7478664467787</v>
      </c>
    </row>
    <row r="35" spans="1:15" x14ac:dyDescent="0.25">
      <c r="A35" s="72" t="s">
        <v>170</v>
      </c>
      <c r="B35" s="54" t="s">
        <v>143</v>
      </c>
      <c r="C35" s="67">
        <f>C34/C32</f>
        <v>4713342.2080866471</v>
      </c>
      <c r="D35" s="56">
        <f>-(1-C35/C26)</f>
        <v>-0.54751914802368185</v>
      </c>
      <c r="E35" s="55"/>
      <c r="L35" s="7" t="s">
        <v>193</v>
      </c>
      <c r="M35" s="7" t="s">
        <v>10</v>
      </c>
      <c r="N35" s="15">
        <f>IF(N17=aux!E3,"",N18*N27*N34/1000)</f>
        <v>4.4355641611588643</v>
      </c>
    </row>
    <row r="36" spans="1:15" x14ac:dyDescent="0.25">
      <c r="A36" s="72" t="s">
        <v>167</v>
      </c>
      <c r="B36" s="54" t="s">
        <v>143</v>
      </c>
      <c r="C36" s="67">
        <f>C34/(C13-C32-C23)</f>
        <v>1042475.2098663837</v>
      </c>
      <c r="D36" s="56">
        <f>-(1-C36/C26)</f>
        <v>-0.89992237985282719</v>
      </c>
      <c r="E36" s="65"/>
      <c r="L36" s="92" t="s">
        <v>194</v>
      </c>
      <c r="M36" s="93" t="s">
        <v>10</v>
      </c>
      <c r="N36" s="95">
        <v>0.3</v>
      </c>
    </row>
    <row r="37" spans="1:15" x14ac:dyDescent="0.25">
      <c r="A37" s="75" t="s">
        <v>171</v>
      </c>
      <c r="B37" s="76" t="s">
        <v>143</v>
      </c>
      <c r="C37" s="68">
        <f>C34/(C13-C32)</f>
        <v>812697.13546131784</v>
      </c>
      <c r="D37" s="56">
        <f>-(1-C37/C26)</f>
        <v>-0.92198107499571347</v>
      </c>
      <c r="E37" s="55"/>
    </row>
    <row r="38" spans="1:15" x14ac:dyDescent="0.25">
      <c r="E38" s="56"/>
    </row>
    <row r="39" spans="1:15" x14ac:dyDescent="0.25">
      <c r="E39" s="56"/>
    </row>
    <row r="40" spans="1:15" x14ac:dyDescent="0.25">
      <c r="E40" s="56"/>
    </row>
  </sheetData>
  <conditionalFormatting sqref="H20">
    <cfRule type="cellIs" dxfId="18" priority="36" operator="lessThan">
      <formula>$I$20</formula>
    </cfRule>
  </conditionalFormatting>
  <conditionalFormatting sqref="H9">
    <cfRule type="cellIs" dxfId="17" priority="35" operator="lessThan">
      <formula>$I$9</formula>
    </cfRule>
  </conditionalFormatting>
  <conditionalFormatting sqref="H16">
    <cfRule type="cellIs" dxfId="16" priority="34" operator="lessThan">
      <formula>$I$16</formula>
    </cfRule>
  </conditionalFormatting>
  <conditionalFormatting sqref="H6">
    <cfRule type="cellIs" dxfId="15" priority="29" operator="greaterThan">
      <formula>$J$6</formula>
    </cfRule>
    <cfRule type="cellIs" dxfId="14" priority="31" operator="lessThan">
      <formula>$I$6</formula>
    </cfRule>
  </conditionalFormatting>
  <conditionalFormatting sqref="H13">
    <cfRule type="cellIs" dxfId="13" priority="28" operator="greaterThan">
      <formula>$J$13</formula>
    </cfRule>
    <cfRule type="cellIs" dxfId="12" priority="30" operator="lessThan">
      <formula>$I$13</formula>
    </cfRule>
  </conditionalFormatting>
  <conditionalFormatting sqref="W2">
    <cfRule type="cellIs" dxfId="11" priority="22" operator="lessThan">
      <formula>$X$2</formula>
    </cfRule>
    <cfRule type="cellIs" dxfId="10" priority="23" operator="greaterThan">
      <formula>$Y$2</formula>
    </cfRule>
  </conditionalFormatting>
  <conditionalFormatting sqref="W8">
    <cfRule type="cellIs" dxfId="9" priority="20" operator="lessThan">
      <formula>$X$8</formula>
    </cfRule>
    <cfRule type="cellIs" dxfId="8" priority="21" operator="greaterThan">
      <formula>$Y$8</formula>
    </cfRule>
  </conditionalFormatting>
  <conditionalFormatting sqref="N10">
    <cfRule type="cellIs" dxfId="7" priority="40" operator="lessThan">
      <formula>$O$10</formula>
    </cfRule>
    <cfRule type="cellIs" dxfId="6" priority="41" operator="equal">
      <formula>$O$10</formula>
    </cfRule>
    <cfRule type="cellIs" dxfId="5" priority="42" operator="greaterThan">
      <formula>$O$10</formula>
    </cfRule>
  </conditionalFormatting>
  <conditionalFormatting sqref="N35">
    <cfRule type="cellIs" dxfId="4" priority="1" operator="lessThan">
      <formula>$N$36</formula>
    </cfRule>
    <cfRule type="cellIs" dxfId="3" priority="2" operator="equal">
      <formula>$N$36</formula>
    </cfRule>
    <cfRule type="cellIs" dxfId="2" priority="3" operator="greaterThan">
      <formula>$N$36</formula>
    </cfRule>
  </conditionalFormatting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821340F2-F77E-47DA-80D4-157097CE3030}">
            <xm:f>aux!$E$2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N7</xm:sqref>
        </x14:conditionalFormatting>
        <x14:conditionalFormatting xmlns:xm="http://schemas.microsoft.com/office/excel/2006/main">
          <x14:cfRule type="cellIs" priority="4" operator="equal" id="{73CAD3C5-8687-4AD4-831B-4D41B6223BAC}">
            <xm:f>aux!$E$2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N17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aux!$A$2:$A$3</xm:f>
          </x14:formula1>
          <xm:sqref>H32</xm:sqref>
        </x14:dataValidation>
        <x14:dataValidation type="list" allowBlank="1" showInputMessage="1" showErrorMessage="1" xr:uid="{00000000-0002-0000-0000-000001000000}">
          <x14:formula1>
            <xm:f>aux!$D$2:$D$12</xm:f>
          </x14:formula1>
          <xm:sqref>H5 H7 H12 H14 S3</xm:sqref>
        </x14:dataValidation>
        <x14:dataValidation type="list" allowBlank="1" showInputMessage="1" showErrorMessage="1" xr:uid="{00000000-0002-0000-0000-000002000000}">
          <x14:formula1>
            <xm:f>aux!$E$2:$E$3</xm:f>
          </x14:formula1>
          <xm:sqref>H2 H33:H34 S1</xm:sqref>
        </x14:dataValidation>
        <x14:dataValidation type="list" allowBlank="1" showInputMessage="1" showErrorMessage="1" xr:uid="{00000000-0002-0000-0000-000003000000}">
          <x14:formula1>
            <xm:f>aux!$F$2:$F$3</xm:f>
          </x14:formula1>
          <xm:sqref>H3</xm:sqref>
        </x14:dataValidation>
        <x14:dataValidation type="list" allowBlank="1" showInputMessage="1" showErrorMessage="1" xr:uid="{00000000-0002-0000-0000-000004000000}">
          <x14:formula1>
            <xm:f>aux!$C$2:$C$3</xm:f>
          </x14:formula1>
          <xm:sqref>W4</xm:sqref>
        </x14:dataValidation>
        <x14:dataValidation type="list" allowBlank="1" showInputMessage="1" showErrorMessage="1" xr:uid="{00000000-0002-0000-0000-000005000000}">
          <x14:formula1>
            <xm:f>aux!$B$2:$B$3</xm:f>
          </x14:formula1>
          <xm:sqref>W3</xm:sqref>
        </x14:dataValidation>
        <x14:dataValidation type="list" allowBlank="1" showInputMessage="1" showErrorMessage="1" xr:uid="{00000000-0002-0000-0000-000006000000}">
          <x14:formula1>
            <xm:f>aux!$D$2:$D$6</xm:f>
          </x14:formula1>
          <xm:sqref>S8</xm:sqref>
        </x14:dataValidation>
        <x14:dataValidation type="list" allowBlank="1" showInputMessage="1" showErrorMessage="1" xr:uid="{00000000-0002-0000-0000-000007000000}">
          <x14:formula1>
            <xm:f>aux!$P$2:$P$3</xm:f>
          </x14:formula1>
          <xm:sqref>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"/>
  <sheetViews>
    <sheetView zoomScale="85" zoomScaleNormal="85" workbookViewId="0">
      <selection activeCell="P4" sqref="P4"/>
    </sheetView>
  </sheetViews>
  <sheetFormatPr baseColWidth="10" defaultRowHeight="15" x14ac:dyDescent="0.25"/>
  <cols>
    <col min="3" max="3" width="16.85546875" bestFit="1" customWidth="1"/>
    <col min="6" max="6" width="12.140625" bestFit="1" customWidth="1"/>
    <col min="8" max="9" width="11.42578125" style="7"/>
    <col min="11" max="11" width="23.140625" bestFit="1" customWidth="1"/>
    <col min="13" max="13" width="23.140625" bestFit="1" customWidth="1"/>
  </cols>
  <sheetData>
    <row r="1" spans="1:20" x14ac:dyDescent="0.25">
      <c r="A1" t="s">
        <v>17</v>
      </c>
      <c r="B1" t="s">
        <v>57</v>
      </c>
      <c r="C1" t="s">
        <v>58</v>
      </c>
      <c r="D1" s="8" t="s">
        <v>19</v>
      </c>
      <c r="E1" t="s">
        <v>22</v>
      </c>
      <c r="F1" t="s">
        <v>26</v>
      </c>
      <c r="G1" t="s">
        <v>61</v>
      </c>
      <c r="H1" s="7" t="s">
        <v>67</v>
      </c>
      <c r="L1" t="s">
        <v>39</v>
      </c>
      <c r="N1" s="3" t="s">
        <v>3</v>
      </c>
      <c r="O1" s="5" t="s">
        <v>5</v>
      </c>
      <c r="P1" s="8" t="s">
        <v>184</v>
      </c>
      <c r="S1" t="s">
        <v>78</v>
      </c>
    </row>
    <row r="2" spans="1:20" x14ac:dyDescent="0.25">
      <c r="A2" t="s">
        <v>12</v>
      </c>
      <c r="B2" t="s">
        <v>4</v>
      </c>
      <c r="C2" t="s">
        <v>41</v>
      </c>
      <c r="D2">
        <v>0</v>
      </c>
      <c r="E2" t="s">
        <v>23</v>
      </c>
      <c r="F2" t="s">
        <v>27</v>
      </c>
      <c r="G2" t="s">
        <v>46</v>
      </c>
      <c r="H2" s="8" t="s">
        <v>81</v>
      </c>
      <c r="J2" t="s">
        <v>2</v>
      </c>
      <c r="L2">
        <v>400</v>
      </c>
      <c r="M2">
        <v>500</v>
      </c>
      <c r="N2" s="4">
        <v>1.5</v>
      </c>
      <c r="O2" s="6">
        <v>1.1499999999999999</v>
      </c>
      <c r="P2" t="s">
        <v>185</v>
      </c>
      <c r="S2" s="15" t="e">
        <f>IF(MR!#REF!=aux!G2,1,1-(S3*MR!W7)^T3)</f>
        <v>#REF!</v>
      </c>
    </row>
    <row r="3" spans="1:20" x14ac:dyDescent="0.25">
      <c r="A3" t="s">
        <v>13</v>
      </c>
      <c r="B3" t="s">
        <v>15</v>
      </c>
      <c r="C3" t="s">
        <v>40</v>
      </c>
      <c r="D3">
        <v>5</v>
      </c>
      <c r="E3" t="s">
        <v>24</v>
      </c>
      <c r="F3" t="s">
        <v>51</v>
      </c>
      <c r="G3" t="s">
        <v>65</v>
      </c>
      <c r="H3" s="8" t="s">
        <v>82</v>
      </c>
      <c r="J3" t="s">
        <v>37</v>
      </c>
      <c r="L3" s="22">
        <v>2</v>
      </c>
      <c r="M3" s="22">
        <v>1.8</v>
      </c>
      <c r="P3" t="s">
        <v>190</v>
      </c>
      <c r="S3">
        <v>1.1000000000000001</v>
      </c>
      <c r="T3">
        <v>1.8</v>
      </c>
    </row>
    <row r="4" spans="1:20" x14ac:dyDescent="0.25">
      <c r="D4">
        <v>6</v>
      </c>
      <c r="G4" t="s">
        <v>66</v>
      </c>
      <c r="H4" s="8" t="s">
        <v>83</v>
      </c>
      <c r="J4" t="s">
        <v>38</v>
      </c>
      <c r="K4" t="s">
        <v>50</v>
      </c>
      <c r="L4" s="22">
        <v>4</v>
      </c>
      <c r="M4" s="22">
        <v>3.2</v>
      </c>
      <c r="S4" t="s">
        <v>71</v>
      </c>
      <c r="T4" s="19" t="e">
        <f>MR!#REF!*S2</f>
        <v>#REF!</v>
      </c>
    </row>
    <row r="5" spans="1:20" x14ac:dyDescent="0.25">
      <c r="D5">
        <v>8</v>
      </c>
      <c r="K5" t="s">
        <v>49</v>
      </c>
      <c r="L5" s="22">
        <v>2</v>
      </c>
      <c r="M5" s="22">
        <v>2</v>
      </c>
    </row>
    <row r="6" spans="1:20" x14ac:dyDescent="0.25">
      <c r="D6">
        <v>10</v>
      </c>
      <c r="K6" t="s">
        <v>41</v>
      </c>
      <c r="L6">
        <v>1.2</v>
      </c>
      <c r="M6">
        <v>0.9</v>
      </c>
      <c r="S6" s="15" t="e">
        <f>IF(MR!#REF!=aux!G2,1,1-(S7*MR!W7)^(T7*MR!AC4))</f>
        <v>#REF!</v>
      </c>
    </row>
    <row r="7" spans="1:20" x14ac:dyDescent="0.25">
      <c r="D7">
        <v>12</v>
      </c>
      <c r="S7" s="7">
        <v>1.1000000000000001</v>
      </c>
      <c r="T7" s="7">
        <v>0.3</v>
      </c>
    </row>
    <row r="8" spans="1:20" x14ac:dyDescent="0.25">
      <c r="D8">
        <v>14</v>
      </c>
    </row>
    <row r="9" spans="1:20" x14ac:dyDescent="0.25">
      <c r="D9">
        <v>16</v>
      </c>
      <c r="S9" s="15" t="e">
        <f>IF(MR!#REF!=aux!G2,1,1-(S10*MR!AC4*MR!W7)^T10)</f>
        <v>#REF!</v>
      </c>
    </row>
    <row r="10" spans="1:20" x14ac:dyDescent="0.25">
      <c r="D10">
        <v>20</v>
      </c>
      <c r="S10">
        <v>0.85</v>
      </c>
      <c r="T10">
        <v>1.8</v>
      </c>
    </row>
    <row r="11" spans="1:20" x14ac:dyDescent="0.25">
      <c r="D11">
        <v>25</v>
      </c>
    </row>
    <row r="12" spans="1:20" x14ac:dyDescent="0.25">
      <c r="D12">
        <v>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MR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dcterms:created xsi:type="dcterms:W3CDTF">2015-10-13T21:43:12Z</dcterms:created>
  <dcterms:modified xsi:type="dcterms:W3CDTF">2022-02-15T18:35:07Z</dcterms:modified>
</cp:coreProperties>
</file>