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65" windowWidth="14805" windowHeight="7350"/>
  </bookViews>
  <sheets>
    <sheet name="simulated design" sheetId="1" r:id="rId1"/>
    <sheet name="aux" sheetId="3" r:id="rId2"/>
  </sheets>
  <calcPr calcId="145621"/>
</workbook>
</file>

<file path=xl/calcChain.xml><?xml version="1.0" encoding="utf-8"?>
<calcChain xmlns="http://schemas.openxmlformats.org/spreadsheetml/2006/main">
  <c r="B33" i="1" l="1"/>
  <c r="E2" i="1" l="1"/>
  <c r="H13" i="1" l="1"/>
  <c r="B8" i="1"/>
  <c r="H15" i="1" l="1"/>
  <c r="H14" i="1"/>
  <c r="U7" i="1" l="1"/>
  <c r="U6" i="1" l="1"/>
  <c r="Q25" i="1" l="1"/>
  <c r="Q26" i="1" s="1"/>
  <c r="B28" i="1"/>
  <c r="Q12" i="1"/>
  <c r="E16" i="1"/>
  <c r="Q27" i="1" l="1"/>
  <c r="Q28" i="1" s="1"/>
  <c r="B10" i="1"/>
  <c r="M7" i="1"/>
  <c r="E6" i="1"/>
  <c r="B27" i="1"/>
  <c r="B15" i="1"/>
  <c r="B29" i="1" l="1"/>
  <c r="B35" i="1"/>
  <c r="U5" i="1"/>
  <c r="E17" i="1"/>
  <c r="B23" i="3"/>
  <c r="C23" i="3"/>
  <c r="C25" i="3" s="1"/>
  <c r="D23" i="3"/>
  <c r="E23" i="3"/>
  <c r="E25" i="3" s="1"/>
  <c r="F23" i="3"/>
  <c r="G23" i="3"/>
  <c r="G25" i="3" s="1"/>
  <c r="H23" i="3"/>
  <c r="B25" i="3"/>
  <c r="D25" i="3"/>
  <c r="F25" i="3"/>
  <c r="H25" i="3"/>
  <c r="Q16" i="1" l="1"/>
  <c r="U8" i="1"/>
  <c r="B18" i="1"/>
  <c r="B26" i="1" l="1"/>
  <c r="B20" i="1"/>
  <c r="B21" i="1" s="1"/>
  <c r="B31" i="1"/>
  <c r="M8" i="1" l="1"/>
  <c r="B11" i="1"/>
  <c r="H6" i="1" s="1"/>
  <c r="B24" i="1" l="1"/>
  <c r="B23" i="1"/>
  <c r="E9" i="1"/>
  <c r="E8" i="1"/>
  <c r="E7" i="1"/>
  <c r="E4" i="1"/>
  <c r="E19" i="1" l="1"/>
  <c r="B25" i="1"/>
  <c r="E5" i="1"/>
  <c r="H3" i="1" l="1"/>
  <c r="H2" i="1"/>
  <c r="E12" i="1"/>
  <c r="E13" i="1" l="1"/>
  <c r="E14" i="1" s="1"/>
  <c r="H16" i="1" s="1"/>
  <c r="H18" i="1" s="1"/>
  <c r="H21" i="1" s="1"/>
  <c r="J21" i="1" s="1"/>
  <c r="Q2" i="1"/>
  <c r="Q5" i="1" s="1"/>
  <c r="E15" i="1" l="1"/>
  <c r="H4" i="1" s="1"/>
  <c r="H24" i="1" l="1"/>
  <c r="H26" i="1"/>
  <c r="H23" i="1"/>
  <c r="Q15" i="1" s="1"/>
  <c r="E18" i="1"/>
  <c r="M2" i="1"/>
  <c r="M3" i="1" s="1"/>
  <c r="M4" i="1" s="1"/>
  <c r="M12" i="1" s="1"/>
  <c r="Q6" i="1"/>
  <c r="Q8" i="1" s="1"/>
  <c r="Q9" i="1" s="1"/>
  <c r="Q10" i="1" s="1"/>
  <c r="Q11" i="1" s="1"/>
  <c r="Q13" i="1" s="1"/>
  <c r="H25" i="1" l="1"/>
  <c r="Q14" i="1"/>
  <c r="M14" i="1"/>
  <c r="M13" i="1"/>
  <c r="M9" i="1"/>
  <c r="M11" i="1" s="1"/>
  <c r="Q17" i="1" l="1"/>
  <c r="Q18" i="1" s="1"/>
  <c r="Q19" i="1" s="1"/>
  <c r="Q21" i="1" s="1"/>
  <c r="Q29" i="1" s="1"/>
  <c r="M10" i="1"/>
</calcChain>
</file>

<file path=xl/sharedStrings.xml><?xml version="1.0" encoding="utf-8"?>
<sst xmlns="http://schemas.openxmlformats.org/spreadsheetml/2006/main" count="195" uniqueCount="175">
  <si>
    <t>n</t>
  </si>
  <si>
    <t>fck [N/mm2]</t>
  </si>
  <si>
    <t>VARIABLES</t>
  </si>
  <si>
    <t>code</t>
  </si>
  <si>
    <t>CODES</t>
  </si>
  <si>
    <t>no code</t>
  </si>
  <si>
    <t>year</t>
  </si>
  <si>
    <t>80-82</t>
  </si>
  <si>
    <t>12.5-15</t>
  </si>
  <si>
    <t>EH</t>
  </si>
  <si>
    <t>min</t>
  </si>
  <si>
    <t>rec</t>
  </si>
  <si>
    <t>tomamos</t>
  </si>
  <si>
    <t>b [mm]</t>
  </si>
  <si>
    <t>md [kN/m2]</t>
  </si>
  <si>
    <t>λd</t>
  </si>
  <si>
    <t>λ</t>
  </si>
  <si>
    <t>&lt;1994</t>
  </si>
  <si>
    <t>&gt;1994</t>
  </si>
  <si>
    <t>Ic [mm4]</t>
  </si>
  <si>
    <t>Kc [N/mm]</t>
  </si>
  <si>
    <t>Atrib [m2]</t>
  </si>
  <si>
    <t>G [kN/m2]</t>
  </si>
  <si>
    <t>Q [kN/m2]</t>
  </si>
  <si>
    <t>fQ</t>
  </si>
  <si>
    <t>α</t>
  </si>
  <si>
    <t>fcd [N/mm2]</t>
  </si>
  <si>
    <t>e [mm]</t>
  </si>
  <si>
    <t>STIFNESS</t>
  </si>
  <si>
    <t xml:space="preserve">segregation </t>
  </si>
  <si>
    <t>Ec [N/mm2]</t>
  </si>
  <si>
    <t>Gw [N/mm2]</t>
  </si>
  <si>
    <t>LOADS</t>
  </si>
  <si>
    <t>Krc [(N/mm)/m2]</t>
  </si>
  <si>
    <t>Kw [(N/mm)/m2]</t>
  </si>
  <si>
    <t>Ktot [(N/mm)/m2]</t>
  </si>
  <si>
    <t>%Krc</t>
  </si>
  <si>
    <t>%Kw</t>
  </si>
  <si>
    <t>MATERIALS</t>
  </si>
  <si>
    <t>fyk [N/mm2]</t>
  </si>
  <si>
    <t>fyd [N/mm2]</t>
  </si>
  <si>
    <t>ρs</t>
  </si>
  <si>
    <t>(De Miguel DA-EHE)</t>
  </si>
  <si>
    <t>dimensions</t>
  </si>
  <si>
    <t>real</t>
  </si>
  <si>
    <t>simulated</t>
  </si>
  <si>
    <t>DIMENSIONS</t>
  </si>
  <si>
    <t>b,real [mm]</t>
  </si>
  <si>
    <t>(objective)</t>
  </si>
  <si>
    <t>(emin=b/20 only)</t>
  </si>
  <si>
    <r>
      <t>c</t>
    </r>
    <r>
      <rPr>
        <sz val="11"/>
        <color theme="1"/>
        <rFont val="Calibri"/>
        <family val="2"/>
      </rPr>
      <t>χ</t>
    </r>
  </si>
  <si>
    <t>h1 [m]</t>
  </si>
  <si>
    <t>ρw1</t>
  </si>
  <si>
    <t>ρw,sup</t>
  </si>
  <si>
    <t>lineal</t>
  </si>
  <si>
    <t>sinusoidal</t>
  </si>
  <si>
    <t>hs [m]</t>
  </si>
  <si>
    <t>paco</t>
  </si>
  <si>
    <t>ntot</t>
  </si>
  <si>
    <t>ncara</t>
  </si>
  <si>
    <t>cálculo de As/Atot para la fórmula del DA de flexión compuesta de pilares</t>
  </si>
  <si>
    <t>As/Atot</t>
  </si>
  <si>
    <t>Lv/h</t>
  </si>
  <si>
    <t>bmin [mm]</t>
  </si>
  <si>
    <t>(year computer)</t>
  </si>
  <si>
    <t>χh</t>
  </si>
  <si>
    <t>χρ</t>
  </si>
  <si>
    <t>1+cχ</t>
  </si>
  <si>
    <t>χ       = χh·χρ·(1+cχ)</t>
  </si>
  <si>
    <t>Md,s [kNm]</t>
  </si>
  <si>
    <t>Nd,s [kN]</t>
  </si>
  <si>
    <t>ψ2</t>
  </si>
  <si>
    <t>bmax [mm]</t>
  </si>
  <si>
    <t>f homogeneisation</t>
  </si>
  <si>
    <t>SHEAR RESISTANCE</t>
  </si>
  <si>
    <t>As,tot [mm2]</t>
  </si>
  <si>
    <t>Φmed [mm]</t>
  </si>
  <si>
    <t>nΦside</t>
  </si>
  <si>
    <t>nΦtotal</t>
  </si>
  <si>
    <t>rmec [mm]</t>
  </si>
  <si>
    <t>ramas</t>
  </si>
  <si>
    <t>dΦ [mm]</t>
  </si>
  <si>
    <t>s [mm]</t>
  </si>
  <si>
    <t>Φ</t>
  </si>
  <si>
    <t>Vdj [kN]</t>
  </si>
  <si>
    <r>
      <t>R</t>
    </r>
    <r>
      <rPr>
        <sz val="11"/>
        <color theme="1"/>
        <rFont val="Calibri"/>
        <family val="2"/>
      </rPr>
      <t>ω</t>
    </r>
  </si>
  <si>
    <t>fcm [N/mm2]</t>
  </si>
  <si>
    <t>fym [N/mm2]</t>
  </si>
  <si>
    <t>(EH91)</t>
  </si>
  <si>
    <t>fvm</t>
  </si>
  <si>
    <t>Vyj,min [kN]</t>
  </si>
  <si>
    <t>Vyj,code [kN]</t>
  </si>
  <si>
    <t>d [mm]</t>
  </si>
  <si>
    <t>z' [mm]</t>
  </si>
  <si>
    <t>Vcu [kN]</t>
  </si>
  <si>
    <t>Vsu [kN]</t>
  </si>
  <si>
    <t>VN [kN]</t>
  </si>
  <si>
    <t>Av [mm2]</t>
  </si>
  <si>
    <t>z [mm]</t>
  </si>
  <si>
    <t>f closure</t>
  </si>
  <si>
    <t>Vyj,R [kN]</t>
  </si>
  <si>
    <t>tw [mm]</t>
  </si>
  <si>
    <t>L [m]</t>
  </si>
  <si>
    <t>τcr [N/mm2]</t>
  </si>
  <si>
    <t>Fcr [kN]</t>
  </si>
  <si>
    <t>0.5Fmax</t>
  </si>
  <si>
    <t>Fw [kN]</t>
  </si>
  <si>
    <t>INFILLS INTERACTION</t>
  </si>
  <si>
    <t>brittle failure</t>
  </si>
  <si>
    <t>bs [mm]</t>
  </si>
  <si>
    <t>bg1 [mm]</t>
  </si>
  <si>
    <t>bg2 [mm]</t>
  </si>
  <si>
    <t>Nd,g [kN]</t>
  </si>
  <si>
    <t>ac (only NCSE-02)[g]</t>
  </si>
  <si>
    <t>L1/L</t>
  </si>
  <si>
    <t>G/(G+Q)</t>
  </si>
  <si>
    <t>h [mm]</t>
  </si>
  <si>
    <t>Es [N/mm2]</t>
  </si>
  <si>
    <t>εy</t>
  </si>
  <si>
    <t>L/d,EHE</t>
  </si>
  <si>
    <t>L/d EHE</t>
  </si>
  <si>
    <t>ρ</t>
  </si>
  <si>
    <t>high</t>
  </si>
  <si>
    <t>low</t>
  </si>
  <si>
    <t>high ρ</t>
  </si>
  <si>
    <t>low ρ</t>
  </si>
  <si>
    <t>cantilever</t>
  </si>
  <si>
    <t>pin-pin</t>
  </si>
  <si>
    <t>half fixed-pin</t>
  </si>
  <si>
    <t>fixed-pin</t>
  </si>
  <si>
    <t>half fixed</t>
  </si>
  <si>
    <t>fixed</t>
  </si>
  <si>
    <t>end conditions</t>
  </si>
  <si>
    <t>BEAMS DEPTH FOR AVOIDING DEFLECTION CALCULATION</t>
  </si>
  <si>
    <t>END CONDITIONS</t>
  </si>
  <si>
    <t>(interpolados)</t>
  </si>
  <si>
    <t>only for old-generation codes</t>
  </si>
  <si>
    <t>search objective=0</t>
  </si>
  <si>
    <t>FORCES</t>
  </si>
  <si>
    <t>design to DLS</t>
  </si>
  <si>
    <t>yes</t>
  </si>
  <si>
    <t>no</t>
  </si>
  <si>
    <t>secant stiffness</t>
  </si>
  <si>
    <t>joint stiffness</t>
  </si>
  <si>
    <t>none</t>
  </si>
  <si>
    <t>only columns</t>
  </si>
  <si>
    <t>only beams</t>
  </si>
  <si>
    <t>half each</t>
  </si>
  <si>
    <t>bw [mm]</t>
  </si>
  <si>
    <t>hb [mm]</t>
  </si>
  <si>
    <t>Ib [mm4]</t>
  </si>
  <si>
    <t>h1' [mm]</t>
  </si>
  <si>
    <t>L' [mm]</t>
  </si>
  <si>
    <t>bIDR [mm]</t>
  </si>
  <si>
    <t>ν</t>
  </si>
  <si>
    <t>Sae(T) [g]</t>
  </si>
  <si>
    <t>q</t>
  </si>
  <si>
    <t>Sad(T) [g]</t>
  </si>
  <si>
    <t>Vel [kN]</t>
  </si>
  <si>
    <t>Vd [kN]</t>
  </si>
  <si>
    <t>Vd/Ab [kN/m2]</t>
  </si>
  <si>
    <t>IDRmax,ELU</t>
  </si>
  <si>
    <t>infills</t>
  </si>
  <si>
    <t>SIMULATED DESIGN</t>
  </si>
  <si>
    <t>rounded</t>
  </si>
  <si>
    <t>rounded?</t>
  </si>
  <si>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d</t>
    </r>
  </si>
  <si>
    <t>γG</t>
  </si>
  <si>
    <t>γQ</t>
  </si>
  <si>
    <t>γc,m</t>
  </si>
  <si>
    <t>γc</t>
  </si>
  <si>
    <t>γy,m</t>
  </si>
  <si>
    <t>γs</t>
  </si>
  <si>
    <t>ωs</t>
  </si>
  <si>
    <t>0.2-0.5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</si>
</sst>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2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2" xfId="0" applyBorder="1"/>
    <xf numFmtId="2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1" fillId="0" borderId="0" xfId="0" applyFont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2" fillId="0" borderId="0" xfId="0" applyFont="1" applyBorder="1"/>
    <xf numFmtId="1" fontId="0" fillId="0" borderId="0" xfId="0" applyNumberFormat="1" applyBorder="1"/>
    <xf numFmtId="0" fontId="0" fillId="0" borderId="0" xfId="0" applyFont="1" applyFill="1" applyBorder="1"/>
    <xf numFmtId="11" fontId="0" fillId="0" borderId="0" xfId="0" applyNumberFormat="1" applyBorder="1"/>
    <xf numFmtId="0" fontId="0" fillId="2" borderId="0" xfId="0" applyFont="1" applyFill="1" applyBorder="1"/>
    <xf numFmtId="1" fontId="0" fillId="2" borderId="0" xfId="0" applyNumberFormat="1" applyFill="1" applyBorder="1"/>
    <xf numFmtId="0" fontId="0" fillId="3" borderId="0" xfId="0" applyFill="1" applyBorder="1"/>
    <xf numFmtId="1" fontId="0" fillId="3" borderId="0" xfId="0" applyNumberFormat="1" applyFill="1" applyBorder="1"/>
    <xf numFmtId="0" fontId="0" fillId="4" borderId="0" xfId="0" applyFont="1" applyFill="1" applyBorder="1"/>
    <xf numFmtId="2" fontId="0" fillId="4" borderId="0" xfId="0" applyNumberFormat="1" applyFill="1" applyBorder="1"/>
    <xf numFmtId="2" fontId="0" fillId="5" borderId="0" xfId="0" applyNumberFormat="1" applyFill="1" applyBorder="1"/>
    <xf numFmtId="0" fontId="2" fillId="0" borderId="0" xfId="0" applyFont="1" applyFill="1" applyBorder="1"/>
    <xf numFmtId="0" fontId="0" fillId="4" borderId="0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 applyBorder="1"/>
    <xf numFmtId="2" fontId="0" fillId="6" borderId="0" xfId="0" applyNumberFormat="1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 applyFill="1" applyBorder="1"/>
    <xf numFmtId="0" fontId="2" fillId="0" borderId="7" xfId="0" applyFont="1" applyFill="1" applyBorder="1"/>
    <xf numFmtId="1" fontId="3" fillId="0" borderId="0" xfId="0" applyNumberFormat="1" applyFont="1" applyBorder="1"/>
    <xf numFmtId="2" fontId="0" fillId="0" borderId="0" xfId="0" applyNumberFormat="1" applyFill="1" applyBorder="1"/>
    <xf numFmtId="0" fontId="0" fillId="5" borderId="0" xfId="0" applyFill="1" applyBorder="1"/>
    <xf numFmtId="0" fontId="0" fillId="0" borderId="1" xfId="0" applyFont="1" applyFill="1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0" fillId="0" borderId="6" xfId="0" applyFill="1" applyBorder="1"/>
    <xf numFmtId="2" fontId="0" fillId="0" borderId="4" xfId="0" applyNumberFormat="1" applyBorder="1"/>
    <xf numFmtId="0" fontId="0" fillId="7" borderId="0" xfId="0" applyFill="1" applyBorder="1"/>
    <xf numFmtId="1" fontId="0" fillId="7" borderId="0" xfId="0" applyNumberFormat="1" applyFill="1" applyBorder="1"/>
    <xf numFmtId="0" fontId="2" fillId="0" borderId="7" xfId="0" applyFont="1" applyBorder="1"/>
    <xf numFmtId="0" fontId="2" fillId="6" borderId="0" xfId="0" applyFont="1" applyFill="1" applyBorder="1"/>
    <xf numFmtId="0" fontId="2" fillId="5" borderId="0" xfId="0" applyFont="1" applyFill="1" applyBorder="1"/>
    <xf numFmtId="2" fontId="0" fillId="2" borderId="0" xfId="0" applyNumberFormat="1" applyFill="1" applyBorder="1"/>
    <xf numFmtId="2" fontId="0" fillId="8" borderId="0" xfId="0" applyNumberFormat="1" applyFont="1" applyFill="1" applyBorder="1"/>
    <xf numFmtId="2" fontId="0" fillId="8" borderId="0" xfId="0" applyNumberFormat="1" applyFill="1" applyBorder="1"/>
    <xf numFmtId="0" fontId="2" fillId="4" borderId="0" xfId="0" applyFont="1" applyFill="1" applyBorder="1"/>
    <xf numFmtId="0" fontId="2" fillId="2" borderId="0" xfId="0" applyFont="1" applyFill="1" applyBorder="1"/>
    <xf numFmtId="165" fontId="0" fillId="0" borderId="0" xfId="0" applyNumberFormat="1" applyBorder="1"/>
    <xf numFmtId="1" fontId="0" fillId="5" borderId="0" xfId="0" applyNumberForma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" fontId="0" fillId="3" borderId="12" xfId="0" applyNumberFormat="1" applyFill="1" applyBorder="1"/>
    <xf numFmtId="0" fontId="0" fillId="0" borderId="1" xfId="0" applyFill="1" applyBorder="1"/>
    <xf numFmtId="0" fontId="0" fillId="0" borderId="2" xfId="0" applyFill="1" applyBorder="1"/>
    <xf numFmtId="2" fontId="0" fillId="0" borderId="6" xfId="0" applyNumberFormat="1" applyFill="1" applyBorder="1"/>
    <xf numFmtId="11" fontId="0" fillId="0" borderId="0" xfId="0" applyNumberFormat="1" applyFill="1" applyBorder="1"/>
    <xf numFmtId="1" fontId="0" fillId="0" borderId="0" xfId="0" applyNumberFormat="1" applyFill="1" applyBorder="1"/>
    <xf numFmtId="0" fontId="0" fillId="0" borderId="7" xfId="0" applyFont="1" applyFill="1" applyBorder="1"/>
    <xf numFmtId="0" fontId="0" fillId="0" borderId="8" xfId="0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zoomScale="85" zoomScaleNormal="85" workbookViewId="0">
      <selection activeCell="K29" sqref="K29"/>
    </sheetView>
  </sheetViews>
  <sheetFormatPr baseColWidth="10" defaultColWidth="9.140625" defaultRowHeight="15" x14ac:dyDescent="0.25"/>
  <cols>
    <col min="1" max="1" width="19" style="3" bestFit="1" customWidth="1"/>
    <col min="2" max="2" width="10.85546875" style="3" customWidth="1"/>
    <col min="3" max="3" width="9.140625" style="3"/>
    <col min="4" max="4" width="14.85546875" style="3" customWidth="1"/>
    <col min="5" max="5" width="11.85546875" style="3" customWidth="1"/>
    <col min="6" max="6" width="9.140625" style="3" customWidth="1"/>
    <col min="7" max="7" width="18.85546875" style="3" bestFit="1" customWidth="1"/>
    <col min="8" max="8" width="12.85546875" style="3" customWidth="1"/>
    <col min="9" max="11" width="9.140625" style="3" customWidth="1"/>
    <col min="12" max="12" width="17.85546875" style="3" customWidth="1"/>
    <col min="13" max="13" width="8.85546875" style="3" customWidth="1"/>
    <col min="14" max="14" width="8.85546875" style="10" customWidth="1"/>
    <col min="15" max="15" width="9.42578125" style="3" customWidth="1"/>
    <col min="16" max="21" width="9.140625" style="3" customWidth="1"/>
    <col min="22" max="22" width="9.140625" style="3"/>
    <col min="23" max="23" width="15.7109375" style="3" customWidth="1"/>
    <col min="24" max="24" width="10.140625" style="3" customWidth="1"/>
    <col min="25" max="16384" width="9.140625" style="3"/>
  </cols>
  <sheetData>
    <row r="1" spans="1:21" x14ac:dyDescent="0.25">
      <c r="A1" s="9" t="s">
        <v>2</v>
      </c>
      <c r="D1" s="9" t="s">
        <v>32</v>
      </c>
      <c r="G1" s="9" t="s">
        <v>163</v>
      </c>
      <c r="H1" s="3" t="s">
        <v>42</v>
      </c>
      <c r="L1" s="9" t="s">
        <v>28</v>
      </c>
      <c r="P1" s="9" t="s">
        <v>74</v>
      </c>
      <c r="T1" s="3" t="s">
        <v>133</v>
      </c>
    </row>
    <row r="2" spans="1:21" x14ac:dyDescent="0.25">
      <c r="A2" s="4" t="s">
        <v>0</v>
      </c>
      <c r="B2" s="5">
        <v>5</v>
      </c>
      <c r="D2" s="10" t="s">
        <v>22</v>
      </c>
      <c r="E2" s="3">
        <f>IF(B3&lt;B14,3+2+1,3+2+1.5+1)</f>
        <v>7.5</v>
      </c>
      <c r="G2" s="19" t="s">
        <v>110</v>
      </c>
      <c r="H2" s="20">
        <f>(1.125*E19*1000/(B25+B32*B31))^0.5</f>
        <v>265.07359095294584</v>
      </c>
      <c r="I2" s="3" t="s">
        <v>49</v>
      </c>
      <c r="L2" s="3" t="s">
        <v>19</v>
      </c>
      <c r="M2" s="16">
        <f>H21^4/12</f>
        <v>3746320248.0012259</v>
      </c>
      <c r="N2" s="63"/>
      <c r="P2" s="10" t="s">
        <v>84</v>
      </c>
      <c r="Q2" s="35">
        <f>E12*B12</f>
        <v>64.658119658119674</v>
      </c>
      <c r="T2" s="3" t="s">
        <v>102</v>
      </c>
      <c r="U2" s="56">
        <v>5.5</v>
      </c>
    </row>
    <row r="3" spans="1:21" x14ac:dyDescent="0.25">
      <c r="A3" s="7" t="s">
        <v>6</v>
      </c>
      <c r="B3" s="8">
        <v>2015</v>
      </c>
      <c r="D3" s="10" t="s">
        <v>23</v>
      </c>
      <c r="E3" s="3">
        <v>2</v>
      </c>
      <c r="G3" s="19" t="s">
        <v>111</v>
      </c>
      <c r="H3" s="20">
        <f>(E19*1000/B25)^0.5</f>
        <v>280.62430400804561</v>
      </c>
      <c r="L3" s="3" t="s">
        <v>20</v>
      </c>
      <c r="M3" s="14">
        <f>12*B26*M2/(B7*1000)^3</f>
        <v>48219.984327345999</v>
      </c>
      <c r="N3" s="64"/>
      <c r="P3" s="3" t="s">
        <v>85</v>
      </c>
      <c r="Q3" s="3">
        <v>1.45</v>
      </c>
      <c r="T3" s="3" t="s">
        <v>132</v>
      </c>
      <c r="U3" s="57" t="s">
        <v>129</v>
      </c>
    </row>
    <row r="4" spans="1:21" x14ac:dyDescent="0.25">
      <c r="A4" s="41" t="s">
        <v>113</v>
      </c>
      <c r="B4" s="8">
        <v>0.12</v>
      </c>
      <c r="D4" s="10" t="s">
        <v>24</v>
      </c>
      <c r="E4" s="3">
        <f>IF(B11="1994",0.3,0.5)</f>
        <v>0.5</v>
      </c>
      <c r="G4" s="10" t="s">
        <v>48</v>
      </c>
      <c r="H4" s="34">
        <f>(E15*10^6-E17*1000/2*(H5-E17*1000/(H5*B25))-0.35*B32*H5^2*B31*(H5-70))/10^6</f>
        <v>-23.884916421791917</v>
      </c>
      <c r="L4" s="10" t="s">
        <v>33</v>
      </c>
      <c r="M4" s="14">
        <f>M3/B12</f>
        <v>2410.9992163673001</v>
      </c>
      <c r="N4" s="64"/>
      <c r="P4" s="26" t="s">
        <v>73</v>
      </c>
      <c r="Q4" s="27">
        <v>1.1000000000000001</v>
      </c>
      <c r="T4" s="15" t="s">
        <v>121</v>
      </c>
      <c r="U4" s="58" t="s">
        <v>122</v>
      </c>
    </row>
    <row r="5" spans="1:21" x14ac:dyDescent="0.25">
      <c r="A5" s="41" t="s">
        <v>155</v>
      </c>
      <c r="B5" s="62">
        <v>0.4</v>
      </c>
      <c r="D5" s="10" t="s">
        <v>14</v>
      </c>
      <c r="E5" s="6">
        <f>E2+E4*E3</f>
        <v>8.5</v>
      </c>
      <c r="G5" s="19" t="s">
        <v>109</v>
      </c>
      <c r="H5" s="59">
        <v>364.534236143236</v>
      </c>
      <c r="I5" s="3" t="s">
        <v>137</v>
      </c>
      <c r="L5" s="37" t="s">
        <v>52</v>
      </c>
      <c r="M5" s="38">
        <v>1.4999999999999999E-2</v>
      </c>
      <c r="N5" s="3" t="s">
        <v>162</v>
      </c>
      <c r="P5" s="25" t="s">
        <v>91</v>
      </c>
      <c r="Q5" s="22">
        <f>Q2*Q3*Q4</f>
        <v>103.12970085470089</v>
      </c>
      <c r="T5" s="10" t="s">
        <v>115</v>
      </c>
      <c r="U5" s="3">
        <f>E2/(E2+E3)</f>
        <v>0.78947368421052633</v>
      </c>
    </row>
    <row r="6" spans="1:21" x14ac:dyDescent="0.25">
      <c r="A6" s="41" t="s">
        <v>156</v>
      </c>
      <c r="B6" s="42">
        <v>4.68</v>
      </c>
      <c r="D6" s="15" t="s">
        <v>166</v>
      </c>
      <c r="E6" s="6">
        <f>IF(AND(B3&gt;1973,B3&lt;1994),1.1,1)</f>
        <v>1</v>
      </c>
      <c r="G6" s="19" t="s">
        <v>63</v>
      </c>
      <c r="H6" s="19">
        <f>IF(AND(B11="2002",B4&gt;0.159),300,250)</f>
        <v>250</v>
      </c>
      <c r="L6" s="39" t="s">
        <v>53</v>
      </c>
      <c r="M6" s="40">
        <v>4.2000000000000003E-2</v>
      </c>
      <c r="P6" s="3" t="s">
        <v>75</v>
      </c>
      <c r="Q6" s="14">
        <f>H21^2*B32</f>
        <v>2120.2792970742016</v>
      </c>
      <c r="T6" s="3" t="s">
        <v>114</v>
      </c>
      <c r="U6" s="3">
        <f>IF(U3=aux!T2,2)+IF(U3=aux!T3,1)+IF(U3=aux!T4,0.85)+IF(U3=aux!T5,0.7)+IF(U3=aux!T6,0.7)+IF(U3=aux!T7,0.5)</f>
        <v>0.7</v>
      </c>
    </row>
    <row r="7" spans="1:21" x14ac:dyDescent="0.25">
      <c r="A7" s="39" t="s">
        <v>51</v>
      </c>
      <c r="B7" s="43">
        <v>3</v>
      </c>
      <c r="D7" s="15" t="s">
        <v>15</v>
      </c>
      <c r="E7" s="6">
        <f>IF(B3&lt;1994,IF(B2=aux!D1,aux!D2,IF(B2=aux!E1,aux!E2,IF(B2=aux!F1,aux!F2,IF(B2=aux!G1,aux!G2,IF(B2=aux!H1,aux!H2,IF(B2=aux!I1,aux!I2,IF(B2=aux!J1,aux!J2,aux!K2))))))),IF(B2=aux!D1,aux!D3,IF(B2=aux!E1,aux!E3,IF(B2=aux!F1,aux!F3,IF(B2=aux!G1,aux!G3,IF(B2=aux!H1,aux!H3,IF(B2=aux!I1,aux!I3,IF(B2=aux!J1,aux!J3,aux!K3))))))))</f>
        <v>0.89</v>
      </c>
      <c r="G7" s="60" t="s">
        <v>139</v>
      </c>
      <c r="H7" s="61" t="s">
        <v>140</v>
      </c>
      <c r="L7" s="36" t="s">
        <v>66</v>
      </c>
      <c r="M7" s="23">
        <f>M5/M6</f>
        <v>0.3571428571428571</v>
      </c>
      <c r="N7" s="35"/>
      <c r="P7" s="46" t="s">
        <v>76</v>
      </c>
      <c r="Q7" s="27">
        <v>16</v>
      </c>
      <c r="T7" s="10" t="s">
        <v>119</v>
      </c>
      <c r="U7" s="3">
        <f>IF(U4=aux!W2,IF(U3=aux!Y3,aux!Z3)+IF(U3=aux!Y4,aux!Z4)+IF(U3=aux!Y5,aux!Z5)+IF(U3=aux!Y6,aux!Z6)+IF(U3=aux!Y7,aux!Z7)+IF(U3=aux!Y8,aux!Z8),IF(U3=aux!Y3,aux!AA3)+IF(U3=aux!Y4,aux!AA4)+IF(U3=aux!Y5,aux!AA5)+IF(U3=aux!Y6,aux!AA6)+IF(U3=aux!Y7,aux!AA7)+IF(U3=aux!Y8,aux!AA8))</f>
        <v>18</v>
      </c>
    </row>
    <row r="8" spans="1:21" x14ac:dyDescent="0.25">
      <c r="A8" s="10" t="s">
        <v>157</v>
      </c>
      <c r="B8" s="35">
        <f>B5/B6</f>
        <v>8.5470085470085486E-2</v>
      </c>
      <c r="D8" s="15" t="s">
        <v>167</v>
      </c>
      <c r="E8" s="3">
        <f>IF(B3&lt;2008,1.5,1.35)</f>
        <v>1.35</v>
      </c>
      <c r="G8" s="7" t="s">
        <v>161</v>
      </c>
      <c r="H8" s="8">
        <v>0.01</v>
      </c>
      <c r="L8" s="15" t="s">
        <v>34</v>
      </c>
      <c r="M8" s="14">
        <f>B36*10^6*M5/(B7*1000)</f>
        <v>6750</v>
      </c>
      <c r="N8" s="64"/>
      <c r="P8" s="24" t="s">
        <v>78</v>
      </c>
      <c r="Q8" s="6">
        <f>Q6/(PI()/4*Q7^2)</f>
        <v>10.545404089524013</v>
      </c>
      <c r="R8" s="3" t="s">
        <v>165</v>
      </c>
      <c r="T8" s="36" t="s">
        <v>116</v>
      </c>
      <c r="U8" s="55">
        <f>IF(B3&lt;1973,(10*B18+B27)/6*MAX(U5,0.5)*U6*U2,IF(B3&lt;1999,30+B35*1000*U2*U6*MAX(30,50*U5),30+U2*1000/U7))</f>
        <v>335.55555555555554</v>
      </c>
    </row>
    <row r="9" spans="1:21" x14ac:dyDescent="0.25">
      <c r="A9" s="3" t="s">
        <v>56</v>
      </c>
      <c r="B9" s="6">
        <v>3</v>
      </c>
      <c r="D9" s="15" t="s">
        <v>168</v>
      </c>
      <c r="E9" s="3">
        <f>IF(B3&lt;2008,1.6,1.5)</f>
        <v>1.5</v>
      </c>
      <c r="G9" s="41" t="s">
        <v>142</v>
      </c>
      <c r="H9" s="42">
        <v>0.5</v>
      </c>
      <c r="L9" s="15" t="s">
        <v>35</v>
      </c>
      <c r="M9" s="14">
        <f>M4+M8</f>
        <v>9160.9992163672996</v>
      </c>
      <c r="N9" s="64"/>
      <c r="P9" s="24" t="s">
        <v>77</v>
      </c>
      <c r="Q9" s="6">
        <f>(Q8+4)/4</f>
        <v>3.6363510223810032</v>
      </c>
    </row>
    <row r="10" spans="1:21" x14ac:dyDescent="0.25">
      <c r="A10" s="36" t="s">
        <v>65</v>
      </c>
      <c r="B10" s="23">
        <f>B9/B7</f>
        <v>1</v>
      </c>
      <c r="G10" s="41" t="s">
        <v>143</v>
      </c>
      <c r="H10" s="42" t="s">
        <v>146</v>
      </c>
      <c r="L10" s="21" t="s">
        <v>36</v>
      </c>
      <c r="M10" s="22">
        <f>M4/M9</f>
        <v>0.26318081242270391</v>
      </c>
      <c r="N10" s="35"/>
      <c r="P10" s="24" t="s">
        <v>81</v>
      </c>
      <c r="Q10" s="14">
        <f>(H21-2*H22)/(Q9-1)</f>
        <v>151.90120839539514</v>
      </c>
    </row>
    <row r="11" spans="1:21" x14ac:dyDescent="0.25">
      <c r="A11" s="3" t="s">
        <v>3</v>
      </c>
      <c r="B11" s="3" t="str">
        <f>IF(B3&lt;1962,"no",IF(B3&lt;1968,"1962",IF(B3&lt;1974,"1968",IF(B3&lt;1994,"1974",IF(B3&lt;2002,"1994","2002")))))</f>
        <v>2002</v>
      </c>
      <c r="D11" s="9" t="s">
        <v>138</v>
      </c>
      <c r="G11" s="41" t="s">
        <v>148</v>
      </c>
      <c r="H11" s="42">
        <v>300</v>
      </c>
      <c r="L11" s="21" t="s">
        <v>37</v>
      </c>
      <c r="M11" s="22">
        <f>M8/M9</f>
        <v>0.73681918757729614</v>
      </c>
      <c r="N11" s="35"/>
      <c r="P11" s="24" t="s">
        <v>80</v>
      </c>
      <c r="Q11" s="6">
        <f>ROUNDUP(1+IF(Q10&gt;150,Q9-1,Q9/2),0)</f>
        <v>4</v>
      </c>
      <c r="R11" s="3" t="s">
        <v>165</v>
      </c>
    </row>
    <row r="12" spans="1:21" x14ac:dyDescent="0.25">
      <c r="A12" s="4" t="s">
        <v>21</v>
      </c>
      <c r="B12" s="5">
        <v>20</v>
      </c>
      <c r="D12" s="15" t="s">
        <v>160</v>
      </c>
      <c r="E12" s="6">
        <f>B8*B2*E5*E6*E7</f>
        <v>3.2329059829059839</v>
      </c>
      <c r="G12" s="11" t="s">
        <v>149</v>
      </c>
      <c r="H12" s="40">
        <v>500</v>
      </c>
      <c r="L12" s="50" t="s">
        <v>50</v>
      </c>
      <c r="M12" s="51">
        <f>M4/M8</f>
        <v>0.35718506909145187</v>
      </c>
      <c r="N12" s="35"/>
      <c r="P12" s="3" t="s">
        <v>83</v>
      </c>
      <c r="Q12" s="3">
        <f>MAX(6,0.25*Q7)</f>
        <v>6</v>
      </c>
    </row>
    <row r="13" spans="1:21" x14ac:dyDescent="0.25">
      <c r="A13" s="41" t="s">
        <v>102</v>
      </c>
      <c r="B13" s="8">
        <v>5</v>
      </c>
      <c r="D13" s="15" t="s">
        <v>159</v>
      </c>
      <c r="E13" s="6">
        <f>E12*B12</f>
        <v>64.658119658119674</v>
      </c>
      <c r="G13" s="10" t="s">
        <v>150</v>
      </c>
      <c r="H13" s="16">
        <f>H11*H12^3/12</f>
        <v>3125000000</v>
      </c>
      <c r="L13" s="36" t="s">
        <v>67</v>
      </c>
      <c r="M13" s="23">
        <f>1+M12</f>
        <v>1.357185069091452</v>
      </c>
      <c r="N13" s="35"/>
      <c r="P13" s="10" t="s">
        <v>97</v>
      </c>
      <c r="Q13" s="6">
        <f>Q11*PI()/4*Q12^2</f>
        <v>113.09733552923255</v>
      </c>
    </row>
    <row r="14" spans="1:21" x14ac:dyDescent="0.25">
      <c r="A14" s="11" t="s">
        <v>64</v>
      </c>
      <c r="B14" s="12">
        <v>1995</v>
      </c>
      <c r="D14" s="15" t="s">
        <v>158</v>
      </c>
      <c r="E14" s="3">
        <f>E13*B6</f>
        <v>302.60000000000008</v>
      </c>
      <c r="G14" s="10" t="s">
        <v>151</v>
      </c>
      <c r="H14" s="14">
        <f>1000*IF(H10=aux!Q6,B7,IF(H10=aux!Q7,B7-H12/1000,IF(H10=aux!Q8,B7,IF(H10=aux!Q9,B7-H12/(2*1000)))))</f>
        <v>3000</v>
      </c>
      <c r="I14" s="14"/>
      <c r="L14" s="28" t="s">
        <v>68</v>
      </c>
      <c r="M14" s="29">
        <f>B10*M7*(1+M12)</f>
        <v>0.48470895324694707</v>
      </c>
      <c r="N14" s="35"/>
      <c r="P14" s="24" t="s">
        <v>82</v>
      </c>
      <c r="Q14" s="3">
        <f>50*ROUNDDOWN(MIN(15*Q7,300,0.85*H23,H24,3*H21)/50,0)</f>
        <v>200</v>
      </c>
      <c r="R14" s="3" t="s">
        <v>165</v>
      </c>
    </row>
    <row r="15" spans="1:21" x14ac:dyDescent="0.25">
      <c r="A15" s="10" t="s">
        <v>62</v>
      </c>
      <c r="B15" s="6">
        <f>IF(B3&lt;B14,1/2,2/3)</f>
        <v>0.66666666666666663</v>
      </c>
      <c r="D15" s="15" t="s">
        <v>69</v>
      </c>
      <c r="E15" s="6">
        <f>E13*B15*B7</f>
        <v>129.31623931623935</v>
      </c>
      <c r="G15" s="10" t="s">
        <v>152</v>
      </c>
      <c r="H15" s="14">
        <f>1000*IF(H10=aux!Q6,B13,IF(H10=aux!Q7,B13,IF(H10=aux!Q8,B13-H5/1000,IF(H10=aux!Q9,B13-H5/(2*1000)))))</f>
        <v>4635.4657638567642</v>
      </c>
      <c r="I15" s="14"/>
      <c r="P15" s="53" t="s">
        <v>94</v>
      </c>
      <c r="Q15" s="49">
        <f>H21*H23*B21/1000</f>
        <v>180.03679031439088</v>
      </c>
    </row>
    <row r="16" spans="1:21" x14ac:dyDescent="0.25">
      <c r="D16" s="15" t="s">
        <v>71</v>
      </c>
      <c r="E16" s="3">
        <f>IF(B3&lt;1994,0.5,0.3)</f>
        <v>0.3</v>
      </c>
      <c r="G16" s="19" t="s">
        <v>153</v>
      </c>
      <c r="H16" s="20">
        <f>(12*H14/(12*H8*H9*B26/(E14*1000*H14)-H15/(2*H13)))^0.25</f>
        <v>418.60446004919072</v>
      </c>
      <c r="P16" s="53" t="s">
        <v>96</v>
      </c>
      <c r="Q16" s="49">
        <f>0.15*E17</f>
        <v>121.5</v>
      </c>
    </row>
    <row r="17" spans="1:18" x14ac:dyDescent="0.25">
      <c r="A17" s="9" t="s">
        <v>38</v>
      </c>
      <c r="D17" s="15" t="s">
        <v>70</v>
      </c>
      <c r="E17" s="3">
        <f>IF(B8=0,0,B2*B12*(E2+E16*E3))</f>
        <v>810</v>
      </c>
      <c r="G17" s="26" t="s">
        <v>73</v>
      </c>
      <c r="H17" s="27">
        <v>1.1000000000000001</v>
      </c>
      <c r="P17" s="53" t="s">
        <v>95</v>
      </c>
      <c r="Q17" s="49">
        <f>Q13*B29*H25/Q14/1000</f>
        <v>130.4425321705744</v>
      </c>
    </row>
    <row r="18" spans="1:18" x14ac:dyDescent="0.25">
      <c r="A18" s="3" t="s">
        <v>1</v>
      </c>
      <c r="B18" s="6">
        <f>IF(B3&lt;1975,15,IF(B3&lt;1999,17.5,25))</f>
        <v>25</v>
      </c>
      <c r="D18" s="15" t="s">
        <v>27</v>
      </c>
      <c r="E18" s="14">
        <f>E15/E17*1000</f>
        <v>159.64967816819671</v>
      </c>
      <c r="G18" s="17" t="s">
        <v>72</v>
      </c>
      <c r="H18" s="18">
        <f>MAX(H2,H3,H5,H6,H16)</f>
        <v>418.60446004919072</v>
      </c>
      <c r="P18" s="52" t="s">
        <v>90</v>
      </c>
      <c r="Q18" s="22">
        <f>Q15+Q16+Q17</f>
        <v>431.97932248496528</v>
      </c>
    </row>
    <row r="19" spans="1:18" x14ac:dyDescent="0.25">
      <c r="A19" s="1" t="s">
        <v>169</v>
      </c>
      <c r="B19">
        <v>8</v>
      </c>
      <c r="D19" s="15" t="s">
        <v>112</v>
      </c>
      <c r="E19" s="3">
        <f>(E2*E8+E3*E9)*B2*B12</f>
        <v>1312.5</v>
      </c>
      <c r="G19" s="3" t="s">
        <v>43</v>
      </c>
      <c r="H19" s="3" t="s">
        <v>45</v>
      </c>
      <c r="P19" s="48" t="s">
        <v>100</v>
      </c>
      <c r="Q19" s="23">
        <f>MAX(Q5,Q18)</f>
        <v>431.97932248496528</v>
      </c>
    </row>
    <row r="20" spans="1:18" x14ac:dyDescent="0.25">
      <c r="A20" s="3" t="s">
        <v>86</v>
      </c>
      <c r="B20" s="6">
        <f>B18+B19</f>
        <v>33</v>
      </c>
      <c r="G20" s="30" t="s">
        <v>47</v>
      </c>
      <c r="H20" s="31">
        <v>0</v>
      </c>
      <c r="P20" s="24" t="s">
        <v>99</v>
      </c>
      <c r="Q20" s="3">
        <v>0.6</v>
      </c>
    </row>
    <row r="21" spans="1:18" x14ac:dyDescent="0.25">
      <c r="A21" t="s">
        <v>89</v>
      </c>
      <c r="B21" s="2">
        <f>0.05*(10*B20)^0.5</f>
        <v>0.90829510622924747</v>
      </c>
      <c r="G21" s="44" t="s">
        <v>13</v>
      </c>
      <c r="H21" s="45">
        <f>H17*(IF(H19=aux!O2,H20,H18))</f>
        <v>460.4649060541098</v>
      </c>
      <c r="I21" s="3" t="s">
        <v>164</v>
      </c>
      <c r="J21" s="3">
        <f>50*ROUNDUP(H21/50,0)</f>
        <v>500</v>
      </c>
      <c r="P21" s="47" t="s">
        <v>100</v>
      </c>
      <c r="Q21" s="29">
        <f>Q19*Q20</f>
        <v>259.18759349097917</v>
      </c>
    </row>
    <row r="22" spans="1:18" x14ac:dyDescent="0.25">
      <c r="A22" s="13" t="s">
        <v>170</v>
      </c>
      <c r="B22" s="6">
        <v>1.5</v>
      </c>
      <c r="G22" s="33" t="s">
        <v>79</v>
      </c>
      <c r="H22" s="27">
        <v>30</v>
      </c>
    </row>
    <row r="23" spans="1:18" x14ac:dyDescent="0.25">
      <c r="A23" s="15" t="s">
        <v>25</v>
      </c>
      <c r="B23" s="3">
        <f>IF(B3&lt;2008,0.85,1)</f>
        <v>1</v>
      </c>
      <c r="G23" s="3" t="s">
        <v>92</v>
      </c>
      <c r="H23" s="14">
        <f>H21-H22</f>
        <v>430.4649060541098</v>
      </c>
      <c r="P23" s="9" t="s">
        <v>107</v>
      </c>
    </row>
    <row r="24" spans="1:18" x14ac:dyDescent="0.25">
      <c r="A24" s="15" t="s">
        <v>29</v>
      </c>
      <c r="B24" s="3">
        <f>IF(B3&lt;1999,0.9,1)</f>
        <v>1</v>
      </c>
      <c r="C24" t="s">
        <v>88</v>
      </c>
      <c r="G24" s="10" t="s">
        <v>93</v>
      </c>
      <c r="H24" s="14">
        <f>H21-2*H22</f>
        <v>400.4649060541098</v>
      </c>
      <c r="P24" s="26" t="s">
        <v>101</v>
      </c>
      <c r="Q24" s="27">
        <v>120</v>
      </c>
    </row>
    <row r="25" spans="1:18" x14ac:dyDescent="0.25">
      <c r="A25" s="3" t="s">
        <v>26</v>
      </c>
      <c r="B25" s="6">
        <f>B18/B22*B23*B24</f>
        <v>16.666666666666668</v>
      </c>
      <c r="G25" s="10" t="s">
        <v>98</v>
      </c>
      <c r="H25" s="14">
        <f>0.85*H23</f>
        <v>365.89517014599335</v>
      </c>
      <c r="P25" s="10" t="s">
        <v>102</v>
      </c>
      <c r="Q25" s="6">
        <f>B12^0.5</f>
        <v>4.4721359549995796</v>
      </c>
    </row>
    <row r="26" spans="1:18" x14ac:dyDescent="0.25">
      <c r="A26" s="3" t="s">
        <v>30</v>
      </c>
      <c r="B26" s="14">
        <f>22000*(B18/10)^0.3</f>
        <v>28960.408495353226</v>
      </c>
      <c r="G26" s="15" t="s">
        <v>154</v>
      </c>
      <c r="H26" s="6">
        <f>E17*1000/(H21^2*B20)</f>
        <v>0.11576519461056431</v>
      </c>
      <c r="P26" s="36" t="s">
        <v>104</v>
      </c>
      <c r="Q26" s="23">
        <f>Q24*Q25*B37</f>
        <v>187.82971010998236</v>
      </c>
    </row>
    <row r="27" spans="1:18" x14ac:dyDescent="0.25">
      <c r="A27" s="3" t="s">
        <v>39</v>
      </c>
      <c r="B27" s="3">
        <f>IF(B3&lt;2002,400,500)</f>
        <v>500</v>
      </c>
      <c r="P27" s="36" t="s">
        <v>105</v>
      </c>
      <c r="Q27" s="23">
        <f>0.5*1.3*Q26</f>
        <v>122.08931157148854</v>
      </c>
    </row>
    <row r="28" spans="1:18" x14ac:dyDescent="0.25">
      <c r="A28" s="1" t="s">
        <v>171</v>
      </c>
      <c r="B28" s="2">
        <f>1.45/1.15</f>
        <v>1.2608695652173914</v>
      </c>
      <c r="P28" s="28" t="s">
        <v>106</v>
      </c>
      <c r="Q28" s="29">
        <f>AVERAGE(Q26:Q27)</f>
        <v>154.95951084073545</v>
      </c>
    </row>
    <row r="29" spans="1:18" x14ac:dyDescent="0.25">
      <c r="A29" s="3" t="s">
        <v>87</v>
      </c>
      <c r="B29" s="6">
        <f>B27*B28</f>
        <v>630.43478260869563</v>
      </c>
      <c r="P29" s="3" t="s">
        <v>108</v>
      </c>
      <c r="Q29" s="3" t="str">
        <f>IF(Q21&lt;Q28,"Y","N")</f>
        <v>N</v>
      </c>
      <c r="R29" s="3" t="s">
        <v>136</v>
      </c>
    </row>
    <row r="30" spans="1:18" x14ac:dyDescent="0.25">
      <c r="A30" s="13" t="s">
        <v>172</v>
      </c>
      <c r="B30" s="3">
        <v>1.1499999999999999</v>
      </c>
    </row>
    <row r="31" spans="1:18" x14ac:dyDescent="0.25">
      <c r="A31" s="24" t="s">
        <v>40</v>
      </c>
      <c r="B31" s="6">
        <f>B27/B30</f>
        <v>434.78260869565219</v>
      </c>
    </row>
    <row r="32" spans="1:18" x14ac:dyDescent="0.25">
      <c r="A32" s="33" t="s">
        <v>41</v>
      </c>
      <c r="B32" s="27">
        <v>0.01</v>
      </c>
    </row>
    <row r="33" spans="1:3" x14ac:dyDescent="0.25">
      <c r="A33" s="24" t="s">
        <v>173</v>
      </c>
      <c r="B33" s="6">
        <f>B32*B31/B25</f>
        <v>0.26086956521739135</v>
      </c>
      <c r="C33" s="3" t="s">
        <v>174</v>
      </c>
    </row>
    <row r="34" spans="1:3" x14ac:dyDescent="0.25">
      <c r="A34" s="24" t="s">
        <v>117</v>
      </c>
      <c r="B34" s="3">
        <v>210000</v>
      </c>
    </row>
    <row r="35" spans="1:3" x14ac:dyDescent="0.25">
      <c r="A35" s="24" t="s">
        <v>118</v>
      </c>
      <c r="B35" s="54">
        <f>B27/B34</f>
        <v>2.3809523809523812E-3</v>
      </c>
    </row>
    <row r="36" spans="1:3" x14ac:dyDescent="0.25">
      <c r="A36" s="10" t="s">
        <v>31</v>
      </c>
      <c r="B36" s="3">
        <v>1350</v>
      </c>
    </row>
    <row r="37" spans="1:3" x14ac:dyDescent="0.25">
      <c r="A37" s="65" t="s">
        <v>103</v>
      </c>
      <c r="B37" s="66">
        <v>0.35</v>
      </c>
    </row>
  </sheetData>
  <sortState ref="G2:I10">
    <sortCondition sortBy="cellColor" ref="G15"/>
  </sortState>
  <conditionalFormatting sqref="Q29">
    <cfRule type="containsText" dxfId="1" priority="1" operator="containsText" text="N">
      <formula>NOT(ISERROR(SEARCH("N",Q29)))</formula>
    </cfRule>
    <cfRule type="containsText" dxfId="0" priority="2" operator="containsText" text="Y">
      <formula>NOT(ISERROR(SEARCH("Y",Q29)))</formula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aux!$O$2:$O$3</xm:f>
          </x14:formula1>
          <xm:sqref>H19</xm:sqref>
        </x14:dataValidation>
        <x14:dataValidation type="list" allowBlank="1" showInputMessage="1" showErrorMessage="1">
          <x14:formula1>
            <xm:f>aux!$T$2:$T$7</xm:f>
          </x14:formula1>
          <xm:sqref>U3</xm:sqref>
        </x14:dataValidation>
        <x14:dataValidation type="list" allowBlank="1" showInputMessage="1" showErrorMessage="1">
          <x14:formula1>
            <xm:f>aux!$W$2:$W$3</xm:f>
          </x14:formula1>
          <xm:sqref>U4</xm:sqref>
        </x14:dataValidation>
        <x14:dataValidation type="list" allowBlank="1" showInputMessage="1" showErrorMessage="1">
          <x14:formula1>
            <xm:f>aux!$Q$2:$Q$3</xm:f>
          </x14:formula1>
          <xm:sqref>H7</xm:sqref>
        </x14:dataValidation>
        <x14:dataValidation type="list" allowBlank="1" showInputMessage="1" showErrorMessage="1">
          <x14:formula1>
            <xm:f>aux!$Q$6:$Q$9</xm:f>
          </x14:formula1>
          <xm:sqref>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zoomScale="85" zoomScaleNormal="85" workbookViewId="0">
      <selection activeCell="N25" sqref="N25"/>
    </sheetView>
  </sheetViews>
  <sheetFormatPr baseColWidth="10" defaultColWidth="9.140625" defaultRowHeight="15" x14ac:dyDescent="0.25"/>
  <cols>
    <col min="25" max="25" width="13.5703125" bestFit="1" customWidth="1"/>
  </cols>
  <sheetData>
    <row r="1" spans="1:28" x14ac:dyDescent="0.25">
      <c r="A1" t="s">
        <v>4</v>
      </c>
      <c r="C1" s="1" t="s">
        <v>16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O1" t="s">
        <v>46</v>
      </c>
      <c r="Q1" t="s">
        <v>139</v>
      </c>
      <c r="T1" t="s">
        <v>134</v>
      </c>
      <c r="W1" s="1" t="s">
        <v>121</v>
      </c>
      <c r="Z1" t="s">
        <v>120</v>
      </c>
    </row>
    <row r="2" spans="1:28" x14ac:dyDescent="0.25">
      <c r="A2" t="s">
        <v>5</v>
      </c>
      <c r="C2" t="s">
        <v>17</v>
      </c>
      <c r="D2" s="2">
        <v>1</v>
      </c>
      <c r="E2" s="2">
        <v>0.9</v>
      </c>
      <c r="F2" s="2">
        <v>0.86</v>
      </c>
      <c r="G2" s="2">
        <v>0.83</v>
      </c>
      <c r="H2" s="2">
        <v>0.82</v>
      </c>
      <c r="I2" s="2">
        <v>0.81</v>
      </c>
      <c r="J2" s="2">
        <v>0.8</v>
      </c>
      <c r="K2" s="2">
        <v>0.79</v>
      </c>
      <c r="L2" t="s">
        <v>54</v>
      </c>
      <c r="O2" t="s">
        <v>44</v>
      </c>
      <c r="Q2" t="s">
        <v>140</v>
      </c>
      <c r="T2" t="s">
        <v>126</v>
      </c>
      <c r="W2" t="s">
        <v>122</v>
      </c>
      <c r="Z2" t="s">
        <v>124</v>
      </c>
      <c r="AA2" t="s">
        <v>125</v>
      </c>
    </row>
    <row r="3" spans="1:28" x14ac:dyDescent="0.25">
      <c r="A3">
        <v>1962</v>
      </c>
      <c r="C3" t="s">
        <v>18</v>
      </c>
      <c r="D3" s="2">
        <v>1</v>
      </c>
      <c r="E3" s="2">
        <v>0.97</v>
      </c>
      <c r="F3" s="2">
        <v>0.93</v>
      </c>
      <c r="G3" s="2">
        <v>0.91</v>
      </c>
      <c r="H3" s="2">
        <v>0.89</v>
      </c>
      <c r="I3" s="2">
        <v>0.88</v>
      </c>
      <c r="J3" s="2">
        <v>0.87</v>
      </c>
      <c r="K3" s="2">
        <v>0.86</v>
      </c>
      <c r="L3" t="s">
        <v>55</v>
      </c>
      <c r="O3" t="s">
        <v>45</v>
      </c>
      <c r="Q3" t="s">
        <v>141</v>
      </c>
      <c r="T3" t="s">
        <v>127</v>
      </c>
      <c r="W3" t="s">
        <v>123</v>
      </c>
      <c r="Y3" t="s">
        <v>126</v>
      </c>
      <c r="Z3">
        <v>6</v>
      </c>
      <c r="AA3">
        <v>8</v>
      </c>
    </row>
    <row r="4" spans="1:28" x14ac:dyDescent="0.25">
      <c r="A4">
        <v>1968</v>
      </c>
      <c r="T4" t="s">
        <v>128</v>
      </c>
      <c r="Y4" t="s">
        <v>127</v>
      </c>
      <c r="Z4">
        <v>14</v>
      </c>
      <c r="AA4">
        <v>20</v>
      </c>
    </row>
    <row r="5" spans="1:28" x14ac:dyDescent="0.25">
      <c r="A5">
        <v>1974</v>
      </c>
      <c r="Q5" t="s">
        <v>143</v>
      </c>
      <c r="T5" t="s">
        <v>129</v>
      </c>
      <c r="Y5" t="s">
        <v>128</v>
      </c>
      <c r="Z5">
        <v>16</v>
      </c>
      <c r="AA5">
        <v>23</v>
      </c>
      <c r="AB5" t="s">
        <v>135</v>
      </c>
    </row>
    <row r="6" spans="1:28" x14ac:dyDescent="0.25">
      <c r="A6">
        <v>1994</v>
      </c>
      <c r="Q6" t="s">
        <v>144</v>
      </c>
      <c r="T6" t="s">
        <v>130</v>
      </c>
      <c r="Y6" t="s">
        <v>129</v>
      </c>
      <c r="Z6">
        <v>18</v>
      </c>
      <c r="AA6">
        <v>26</v>
      </c>
    </row>
    <row r="7" spans="1:28" x14ac:dyDescent="0.25">
      <c r="A7">
        <v>2002</v>
      </c>
      <c r="Q7" t="s">
        <v>145</v>
      </c>
      <c r="T7" t="s">
        <v>131</v>
      </c>
      <c r="Y7" t="s">
        <v>130</v>
      </c>
      <c r="Z7">
        <v>18</v>
      </c>
      <c r="AA7">
        <v>26</v>
      </c>
    </row>
    <row r="8" spans="1:28" x14ac:dyDescent="0.25">
      <c r="Q8" t="s">
        <v>146</v>
      </c>
      <c r="Y8" t="s">
        <v>131</v>
      </c>
      <c r="Z8">
        <v>20</v>
      </c>
      <c r="AA8">
        <v>30</v>
      </c>
    </row>
    <row r="9" spans="1:28" x14ac:dyDescent="0.25">
      <c r="Q9" t="s">
        <v>147</v>
      </c>
    </row>
    <row r="12" spans="1:28" x14ac:dyDescent="0.25">
      <c r="A12" s="3" t="s">
        <v>9</v>
      </c>
      <c r="B12" s="3" t="s">
        <v>10</v>
      </c>
      <c r="C12" s="3" t="s">
        <v>11</v>
      </c>
      <c r="D12" s="3" t="s">
        <v>12</v>
      </c>
      <c r="E12" s="10" t="s">
        <v>57</v>
      </c>
    </row>
    <row r="13" spans="1:28" x14ac:dyDescent="0.25">
      <c r="A13" s="3">
        <v>68</v>
      </c>
      <c r="B13" s="3">
        <v>6</v>
      </c>
      <c r="C13" s="3"/>
      <c r="D13" s="3">
        <v>15</v>
      </c>
      <c r="E13" s="10">
        <v>15</v>
      </c>
    </row>
    <row r="14" spans="1:28" x14ac:dyDescent="0.25">
      <c r="A14" s="3">
        <v>73</v>
      </c>
      <c r="B14" s="3">
        <v>5</v>
      </c>
      <c r="C14" s="3" t="s">
        <v>8</v>
      </c>
      <c r="D14" s="3">
        <v>15</v>
      </c>
      <c r="E14" s="10">
        <v>15</v>
      </c>
    </row>
    <row r="15" spans="1:28" x14ac:dyDescent="0.25">
      <c r="A15" s="3" t="s">
        <v>7</v>
      </c>
      <c r="B15" s="3"/>
      <c r="C15" s="3">
        <v>15</v>
      </c>
      <c r="D15" s="3">
        <v>15</v>
      </c>
      <c r="E15">
        <v>15</v>
      </c>
    </row>
    <row r="16" spans="1:28" x14ac:dyDescent="0.25">
      <c r="A16" s="3">
        <v>88</v>
      </c>
      <c r="B16" s="3">
        <v>12.5</v>
      </c>
      <c r="C16" s="3">
        <v>15</v>
      </c>
      <c r="D16" s="3">
        <v>17.5</v>
      </c>
      <c r="E16" s="10">
        <v>17.5</v>
      </c>
    </row>
    <row r="17" spans="1:11" x14ac:dyDescent="0.25">
      <c r="A17" s="3">
        <v>91</v>
      </c>
      <c r="B17" s="3">
        <v>12.5</v>
      </c>
      <c r="C17" s="3">
        <v>15</v>
      </c>
      <c r="D17" s="3">
        <v>20</v>
      </c>
      <c r="E17" s="32">
        <v>17.5</v>
      </c>
    </row>
    <row r="18" spans="1:11" x14ac:dyDescent="0.25">
      <c r="A18" s="3">
        <v>99</v>
      </c>
      <c r="B18" s="3">
        <v>25</v>
      </c>
      <c r="C18" s="3">
        <v>25</v>
      </c>
      <c r="D18" s="3">
        <v>25</v>
      </c>
      <c r="E18" s="10">
        <v>25</v>
      </c>
    </row>
    <row r="19" spans="1:11" x14ac:dyDescent="0.25">
      <c r="A19" s="3">
        <v>8</v>
      </c>
      <c r="B19" s="3">
        <v>25</v>
      </c>
      <c r="C19" s="3">
        <v>25</v>
      </c>
      <c r="D19" s="3">
        <v>25</v>
      </c>
      <c r="E19" s="10">
        <v>25</v>
      </c>
    </row>
    <row r="22" spans="1:11" x14ac:dyDescent="0.25">
      <c r="A22" t="s">
        <v>60</v>
      </c>
    </row>
    <row r="23" spans="1:11" x14ac:dyDescent="0.25">
      <c r="A23" s="3" t="s">
        <v>58</v>
      </c>
      <c r="B23" s="3">
        <f t="shared" ref="B23:H23" si="0">B24*4-4</f>
        <v>4</v>
      </c>
      <c r="C23" s="3">
        <f t="shared" si="0"/>
        <v>8</v>
      </c>
      <c r="D23" s="3">
        <f t="shared" si="0"/>
        <v>12</v>
      </c>
      <c r="E23" s="3">
        <f t="shared" si="0"/>
        <v>16</v>
      </c>
      <c r="F23" s="3">
        <f t="shared" si="0"/>
        <v>20</v>
      </c>
      <c r="G23" s="3">
        <f t="shared" si="0"/>
        <v>24</v>
      </c>
      <c r="H23" s="3">
        <f t="shared" si="0"/>
        <v>28</v>
      </c>
      <c r="I23" s="3"/>
      <c r="J23" s="3"/>
      <c r="K23" s="3"/>
    </row>
    <row r="24" spans="1:11" x14ac:dyDescent="0.25">
      <c r="A24" s="3" t="s">
        <v>59</v>
      </c>
      <c r="B24" s="3">
        <v>2</v>
      </c>
      <c r="C24" s="3">
        <v>3</v>
      </c>
      <c r="D24" s="3">
        <v>4</v>
      </c>
      <c r="E24" s="10">
        <v>5</v>
      </c>
      <c r="F24" s="10">
        <v>6</v>
      </c>
      <c r="G24" s="10">
        <v>7</v>
      </c>
      <c r="H24" s="10">
        <v>8</v>
      </c>
      <c r="I24" s="3"/>
      <c r="J24" s="3"/>
      <c r="K24" s="3"/>
    </row>
    <row r="25" spans="1:11" x14ac:dyDescent="0.25">
      <c r="A25" s="10" t="s">
        <v>61</v>
      </c>
      <c r="B25" s="6">
        <f t="shared" ref="B25:H25" si="1">B24/B23</f>
        <v>0.5</v>
      </c>
      <c r="C25" s="6">
        <f t="shared" si="1"/>
        <v>0.375</v>
      </c>
      <c r="D25" s="6">
        <f t="shared" si="1"/>
        <v>0.33333333333333331</v>
      </c>
      <c r="E25" s="6">
        <f t="shared" si="1"/>
        <v>0.3125</v>
      </c>
      <c r="F25" s="6">
        <f t="shared" si="1"/>
        <v>0.3</v>
      </c>
      <c r="G25" s="6">
        <f t="shared" si="1"/>
        <v>0.29166666666666669</v>
      </c>
      <c r="H25" s="6">
        <f t="shared" si="1"/>
        <v>0.2857142857142857</v>
      </c>
      <c r="I25" s="3"/>
      <c r="J25" s="3"/>
      <c r="K25" s="3"/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3"/>
      <c r="C27" s="3"/>
      <c r="D27" s="3"/>
      <c r="E27" s="10"/>
      <c r="F27" s="10"/>
      <c r="G27" s="10"/>
      <c r="H27" s="10"/>
      <c r="I27" s="10"/>
      <c r="J27" s="10"/>
      <c r="K27" s="10"/>
    </row>
    <row r="28" spans="1:11" x14ac:dyDescent="0.25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simulated design</vt:lpstr>
      <vt:lpstr>aux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2017-12-20T17:30:54Z</dcterms:modified>
</cp:coreProperties>
</file>