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vigas" sheetId="1" r:id="rId1"/>
    <sheet name="pilares" sheetId="2" r:id="rId2"/>
    <sheet name="J.Montoya" sheetId="3" r:id="rId3"/>
    <sheet name="comparación" sheetId="4" r:id="rId4"/>
    <sheet name="(auxiliar)" sheetId="5" r:id="rId5"/>
    <sheet name="relevancia fc, fy" sheetId="6" r:id="rId6"/>
  </sheets>
  <calcPr calcId="145621"/>
</workbook>
</file>

<file path=xl/calcChain.xml><?xml version="1.0" encoding="utf-8"?>
<calcChain xmlns="http://schemas.openxmlformats.org/spreadsheetml/2006/main">
  <c r="J12" i="1" l="1"/>
  <c r="I11" i="1"/>
  <c r="I12" i="1"/>
  <c r="B23" i="1" l="1"/>
  <c r="B24" i="1"/>
  <c r="L18" i="2" l="1"/>
  <c r="F21" i="2"/>
  <c r="G14" i="6" l="1"/>
  <c r="H2" i="6"/>
  <c r="J5" i="6"/>
  <c r="F5" i="6"/>
  <c r="J4" i="6"/>
  <c r="F4" i="6"/>
  <c r="F6" i="6" s="1"/>
  <c r="J3" i="6"/>
  <c r="F3" i="6"/>
  <c r="J1" i="6"/>
  <c r="F2" i="6"/>
  <c r="J2" i="6"/>
  <c r="F1" i="6"/>
  <c r="B6" i="6"/>
  <c r="B7" i="6" s="1"/>
  <c r="J6" i="6" l="1"/>
  <c r="J7" i="6" s="1"/>
  <c r="J8" i="6" s="1"/>
  <c r="J9" i="6" s="1"/>
  <c r="J10" i="6" s="1"/>
  <c r="F7" i="6"/>
  <c r="F8" i="6" s="1"/>
  <c r="F9" i="6" s="1"/>
  <c r="F10" i="6" s="1"/>
  <c r="B8" i="6"/>
  <c r="B9" i="6" s="1"/>
  <c r="B10" i="6" s="1"/>
  <c r="C24" i="1"/>
  <c r="J11" i="6" l="1"/>
  <c r="F11" i="6"/>
  <c r="F16" i="2"/>
  <c r="F17" i="2" s="1"/>
  <c r="G13" i="6" l="1"/>
  <c r="M11" i="1"/>
  <c r="C23" i="1"/>
  <c r="D23" i="4" l="1"/>
  <c r="D22" i="4"/>
  <c r="D21" i="4"/>
  <c r="D20" i="4"/>
  <c r="L13" i="4"/>
  <c r="K13" i="4"/>
  <c r="I13" i="4"/>
  <c r="H13" i="4"/>
  <c r="C13" i="4"/>
  <c r="J13" i="4" s="1"/>
  <c r="L12" i="4"/>
  <c r="J12" i="4"/>
  <c r="I12" i="4"/>
  <c r="H12" i="4"/>
  <c r="L11" i="4"/>
  <c r="J11" i="4"/>
  <c r="I11" i="4"/>
  <c r="H11" i="4"/>
  <c r="K10" i="4"/>
  <c r="L10" i="4" s="1"/>
  <c r="J10" i="4"/>
  <c r="I10" i="4"/>
  <c r="H10" i="4"/>
  <c r="C10" i="4"/>
  <c r="L9" i="4"/>
  <c r="J9" i="4"/>
  <c r="I9" i="4"/>
  <c r="H9" i="4"/>
  <c r="L8" i="4"/>
  <c r="J8" i="4"/>
  <c r="I8" i="4"/>
  <c r="H8" i="4"/>
  <c r="L7" i="4"/>
  <c r="K7" i="4"/>
  <c r="I7" i="4"/>
  <c r="H7" i="4"/>
  <c r="C7" i="4"/>
  <c r="J7" i="4" s="1"/>
  <c r="L6" i="4"/>
  <c r="J6" i="4"/>
  <c r="I6" i="4"/>
  <c r="H6" i="4"/>
  <c r="L5" i="4"/>
  <c r="J5" i="4"/>
  <c r="I5" i="4"/>
  <c r="H5" i="4"/>
  <c r="K4" i="4"/>
  <c r="L4" i="4" s="1"/>
  <c r="J4" i="4"/>
  <c r="I4" i="4"/>
  <c r="H4" i="4"/>
  <c r="C4" i="4"/>
  <c r="L3" i="4"/>
  <c r="L16" i="4" s="1"/>
  <c r="K3" i="4"/>
  <c r="J3" i="4"/>
  <c r="I3" i="4"/>
  <c r="H3" i="4"/>
  <c r="L2" i="4"/>
  <c r="L15" i="4" s="1"/>
  <c r="K2" i="4"/>
  <c r="J2" i="4"/>
  <c r="I2" i="4"/>
  <c r="H2" i="4"/>
  <c r="B13" i="3"/>
  <c r="A8" i="3"/>
  <c r="B7" i="3"/>
  <c r="A7" i="3"/>
  <c r="B6" i="3"/>
  <c r="A6" i="3"/>
  <c r="B5" i="3"/>
  <c r="A5" i="3"/>
  <c r="F33" i="5"/>
  <c r="F32" i="5"/>
  <c r="G32" i="5" s="1"/>
  <c r="F31" i="5"/>
  <c r="F30" i="5"/>
  <c r="G30" i="5" s="1"/>
  <c r="F29" i="5"/>
  <c r="F28" i="5"/>
  <c r="G28" i="5" s="1"/>
  <c r="F27" i="5"/>
  <c r="F26" i="5"/>
  <c r="G26" i="5" s="1"/>
  <c r="F25" i="5"/>
  <c r="F24" i="5"/>
  <c r="G24" i="5" s="1"/>
  <c r="F23" i="5"/>
  <c r="F22" i="5"/>
  <c r="G22" i="5" s="1"/>
  <c r="F21" i="5"/>
  <c r="F20" i="5"/>
  <c r="G20" i="5" s="1"/>
  <c r="F19" i="5"/>
  <c r="F8" i="2"/>
  <c r="F5" i="2"/>
  <c r="F9" i="2" s="1"/>
  <c r="B22" i="2"/>
  <c r="B12" i="2"/>
  <c r="F14" i="2" s="1"/>
  <c r="B9" i="2"/>
  <c r="B4" i="2"/>
  <c r="M3" i="1"/>
  <c r="M2" i="1"/>
  <c r="B16" i="1"/>
  <c r="B9" i="1"/>
  <c r="M4" i="1" s="1"/>
  <c r="M6" i="1" s="1"/>
  <c r="B7" i="1"/>
  <c r="B10" i="1" s="1"/>
  <c r="G5" i="1" l="1"/>
  <c r="B28" i="2"/>
  <c r="B23" i="2"/>
  <c r="B24" i="2" s="1"/>
  <c r="B2" i="3"/>
  <c r="E6" i="3"/>
  <c r="B10" i="3"/>
  <c r="M9" i="1"/>
  <c r="B17" i="1"/>
  <c r="M8" i="1"/>
  <c r="M14" i="1" s="1"/>
  <c r="B8" i="3"/>
  <c r="G7" i="2"/>
  <c r="J9" i="2" s="1"/>
  <c r="G9" i="2"/>
  <c r="F6" i="2" s="1"/>
  <c r="F7" i="2" s="1"/>
  <c r="B9" i="3"/>
  <c r="F11" i="2"/>
  <c r="F10" i="2"/>
  <c r="F13" i="2" s="1"/>
  <c r="F12" i="2" s="1"/>
  <c r="J16" i="4"/>
  <c r="L17" i="4"/>
  <c r="B25" i="4"/>
  <c r="B26" i="4" s="1"/>
  <c r="B11" i="2"/>
  <c r="B32" i="2" s="1"/>
  <c r="J8" i="2" s="1"/>
  <c r="B26" i="1"/>
  <c r="B25" i="1"/>
  <c r="F4" i="1" s="1"/>
  <c r="F5" i="1" l="1"/>
  <c r="B27" i="1"/>
  <c r="J11" i="1"/>
  <c r="H11" i="1"/>
  <c r="F11" i="1" s="1"/>
  <c r="G11" i="1"/>
  <c r="H12" i="1"/>
  <c r="F12" i="1" s="1"/>
  <c r="G12" i="1"/>
  <c r="G4" i="1"/>
  <c r="J2" i="2"/>
  <c r="J3" i="2" s="1"/>
  <c r="B16" i="2"/>
  <c r="J11" i="2" s="1"/>
  <c r="B16" i="3"/>
  <c r="B15" i="2"/>
  <c r="B14" i="2"/>
  <c r="J15" i="2" s="1"/>
  <c r="F15" i="2"/>
  <c r="I4" i="1"/>
  <c r="E3" i="3"/>
  <c r="B15" i="3"/>
  <c r="E9" i="3"/>
  <c r="E7" i="3"/>
  <c r="B28" i="1"/>
  <c r="M20" i="1" s="1"/>
  <c r="I5" i="1"/>
  <c r="P14" i="1"/>
  <c r="P15" i="1"/>
  <c r="M15" i="1"/>
  <c r="J4" i="2"/>
  <c r="G10" i="2"/>
  <c r="J5" i="2"/>
  <c r="J17" i="4"/>
  <c r="H2" i="1"/>
  <c r="H4" i="1" s="1"/>
  <c r="H3" i="1"/>
  <c r="H5" i="1" s="1"/>
  <c r="P20" i="1" l="1"/>
  <c r="K4" i="2"/>
  <c r="J16" i="2"/>
  <c r="M16" i="1"/>
  <c r="P16" i="1"/>
  <c r="P18" i="1" s="1"/>
  <c r="J10" i="2"/>
  <c r="J6" i="2"/>
  <c r="P19" i="1" l="1"/>
  <c r="P21" i="1" s="1"/>
  <c r="M19" i="1"/>
  <c r="M21" i="1" s="1"/>
  <c r="M18" i="1"/>
</calcChain>
</file>

<file path=xl/sharedStrings.xml><?xml version="1.0" encoding="utf-8"?>
<sst xmlns="http://schemas.openxmlformats.org/spreadsheetml/2006/main" count="242" uniqueCount="176">
  <si>
    <t>MATERIAL</t>
  </si>
  <si>
    <t>RESISTENCIA</t>
  </si>
  <si>
    <t>fck [N/mm2]</t>
  </si>
  <si>
    <t>fyk [N/mm2]</t>
  </si>
  <si>
    <t>y- [mm]</t>
  </si>
  <si>
    <t>ϒc,d</t>
  </si>
  <si>
    <t>Mr- [kNm]</t>
  </si>
  <si>
    <t>ϒy,d</t>
  </si>
  <si>
    <t>ϒc,m</t>
  </si>
  <si>
    <t>y+ [mm]</t>
  </si>
  <si>
    <t>ϒy,m</t>
  </si>
  <si>
    <t>Mr+ [kNm]</t>
  </si>
  <si>
    <t>comprobación</t>
  </si>
  <si>
    <t>m</t>
  </si>
  <si>
    <t>fc [N/mm2]</t>
  </si>
  <si>
    <t>fy [N/mm2]</t>
  </si>
  <si>
    <t>GEOMETRÍA</t>
  </si>
  <si>
    <t>b [mm]</t>
  </si>
  <si>
    <t>h [mm]</t>
  </si>
  <si>
    <t>d' [mm]</t>
  </si>
  <si>
    <t>d [mm]</t>
  </si>
  <si>
    <t>z' [mm]</t>
  </si>
  <si>
    <t>ARMADO</t>
  </si>
  <si>
    <t>num</t>
  </si>
  <si>
    <t>Φ [mm]</t>
  </si>
  <si>
    <t>base sup.</t>
  </si>
  <si>
    <t>ref. sup.</t>
  </si>
  <si>
    <t>base inf.</t>
  </si>
  <si>
    <t>As2 [mm2]</t>
  </si>
  <si>
    <t>As1 [mm2]</t>
  </si>
  <si>
    <t>Us2 [kN]</t>
  </si>
  <si>
    <t>Us1 [kN]</t>
  </si>
  <si>
    <t>y [mm]</t>
  </si>
  <si>
    <r>
      <rPr>
        <sz val="11"/>
        <color theme="1"/>
        <rFont val="Calibri"/>
        <family val="2"/>
      </rPr>
      <t>α</t>
    </r>
    <r>
      <rPr>
        <sz val="11"/>
        <color theme="1"/>
        <rFont val="Calibri"/>
        <family val="2"/>
        <scheme val="minor"/>
      </rPr>
      <t xml:space="preserve"> (cansancio)</t>
    </r>
  </si>
  <si>
    <t>Mrc [kNm]</t>
  </si>
  <si>
    <r>
      <rPr>
        <sz val="11"/>
        <color theme="1"/>
        <rFont val="Calibri"/>
        <family val="2"/>
      </rPr>
      <t>α·</t>
    </r>
    <r>
      <rPr>
        <sz val="11"/>
        <color theme="1"/>
        <rFont val="Calibri"/>
        <family val="2"/>
        <scheme val="minor"/>
      </rPr>
      <t>fck [N/mm2]</t>
    </r>
  </si>
  <si>
    <t>Mry,ext [kNm]</t>
  </si>
  <si>
    <t>stress block</t>
  </si>
  <si>
    <t>Mry,int [kNm]</t>
  </si>
  <si>
    <t>Mr [kNm]</t>
  </si>
  <si>
    <t>f(int)</t>
  </si>
  <si>
    <t>f(γ)</t>
  </si>
  <si>
    <t>f(int/ext)</t>
  </si>
  <si>
    <t>Mr' [kNm]</t>
  </si>
  <si>
    <t>z'' [mm]</t>
  </si>
  <si>
    <t>num. Total</t>
  </si>
  <si>
    <t>num. Ext</t>
  </si>
  <si>
    <t>registros</t>
  </si>
  <si>
    <t>pares</t>
  </si>
  <si>
    <t>int/ext</t>
  </si>
  <si>
    <t>brazos</t>
  </si>
  <si>
    <t>As,ext [mm2]</t>
  </si>
  <si>
    <t>As,int [mm2]</t>
  </si>
  <si>
    <t>Us,ext [kN]</t>
  </si>
  <si>
    <t>Us,int [kN]</t>
  </si>
  <si>
    <t>Ustot [kN]</t>
  </si>
  <si>
    <t>SOLICITACIÓN</t>
  </si>
  <si>
    <t>Nd [kN]</t>
  </si>
  <si>
    <t>γ</t>
  </si>
  <si>
    <t>diámetros</t>
  </si>
  <si>
    <t>d</t>
  </si>
  <si>
    <t>k</t>
  </si>
  <si>
    <t>cansancio</t>
  </si>
  <si>
    <t>serie matemática</t>
  </si>
  <si>
    <t>p</t>
  </si>
  <si>
    <t>impar</t>
  </si>
  <si>
    <t>par</t>
  </si>
  <si>
    <t>DIMENSIONAR</t>
  </si>
  <si>
    <t>fcd [N/mm2]</t>
  </si>
  <si>
    <t>ω (tabla)</t>
  </si>
  <si>
    <t>Utot [kN]</t>
  </si>
  <si>
    <t>MOMENTO RESISTENTE</t>
  </si>
  <si>
    <t>ω</t>
  </si>
  <si>
    <t>μzr (tabla)</t>
  </si>
  <si>
    <t>d'/h</t>
  </si>
  <si>
    <t>Mzr</t>
  </si>
  <si>
    <t>Ac [mm2]</t>
  </si>
  <si>
    <t>SOLICITACIONES</t>
  </si>
  <si>
    <t>Mzd [kNm]</t>
  </si>
  <si>
    <t>ν</t>
  </si>
  <si>
    <t>μz</t>
  </si>
  <si>
    <t>Mbruto</t>
  </si>
  <si>
    <t>Montoya</t>
  </si>
  <si>
    <t>ANGLE</t>
  </si>
  <si>
    <t>MATLAB,d</t>
  </si>
  <si>
    <t>MATLAB,k</t>
  </si>
  <si>
    <t>f,mat,d</t>
  </si>
  <si>
    <t>f,mat,k</t>
  </si>
  <si>
    <t>factor bruto</t>
  </si>
  <si>
    <t>M,0.6</t>
  </si>
  <si>
    <t>promedios</t>
  </si>
  <si>
    <t>f(γ)=b-aγ</t>
  </si>
  <si>
    <t>a</t>
  </si>
  <si>
    <t>b</t>
  </si>
  <si>
    <t>f(int/ext)=a(int/ext)+b</t>
  </si>
  <si>
    <t>Mbruto'</t>
  </si>
  <si>
    <t>factor bruto'</t>
  </si>
  <si>
    <t>CHORD ROTATION</t>
  </si>
  <si>
    <t>ρ1</t>
  </si>
  <si>
    <t>ρ2</t>
  </si>
  <si>
    <t>Ey [N/mm2]</t>
  </si>
  <si>
    <t>Ec [N/mm2]</t>
  </si>
  <si>
    <t>α</t>
  </si>
  <si>
    <t>N [kN]</t>
  </si>
  <si>
    <t>δ1</t>
  </si>
  <si>
    <t>A</t>
  </si>
  <si>
    <t>B</t>
  </si>
  <si>
    <t>M+</t>
  </si>
  <si>
    <t>ξy</t>
  </si>
  <si>
    <t>L [m]</t>
  </si>
  <si>
    <t>db2 [mm]</t>
  </si>
  <si>
    <t>db1 [mm]</t>
  </si>
  <si>
    <t>φy [mm-1]</t>
  </si>
  <si>
    <t>Ѳy [rad]</t>
  </si>
  <si>
    <t>Ѳu [rad]</t>
  </si>
  <si>
    <t>μѲ</t>
  </si>
  <si>
    <t>φu [mm-1]</t>
  </si>
  <si>
    <t>μφ</t>
  </si>
  <si>
    <t>Lv [m]</t>
  </si>
  <si>
    <t>ω2</t>
  </si>
  <si>
    <t>ω1</t>
  </si>
  <si>
    <t>M-</t>
  </si>
  <si>
    <t>z=0.85d sin U'</t>
  </si>
  <si>
    <t>sin U'</t>
  </si>
  <si>
    <t>ωtot</t>
  </si>
  <si>
    <t>ρtot</t>
  </si>
  <si>
    <t>fc [MPa]</t>
  </si>
  <si>
    <t>fy [MPa]</t>
  </si>
  <si>
    <t>Us [kN]</t>
  </si>
  <si>
    <t>z [mm]</t>
  </si>
  <si>
    <t>ρ</t>
  </si>
  <si>
    <t>As [mm2]</t>
  </si>
  <si>
    <t>kc</t>
  </si>
  <si>
    <t>ks</t>
  </si>
  <si>
    <t>f</t>
  </si>
  <si>
    <t>Mr,c [kNm]</t>
  </si>
  <si>
    <t>Mr,s [kNm]</t>
  </si>
  <si>
    <t>(Mr,s-1)/(Mr,c-1)</t>
  </si>
  <si>
    <t>fórmula</t>
  </si>
  <si>
    <t>CRACKING</t>
  </si>
  <si>
    <t>fct [N/mm2]</t>
  </si>
  <si>
    <t>factor tracción</t>
  </si>
  <si>
    <t>EHE</t>
  </si>
  <si>
    <t>EC2</t>
  </si>
  <si>
    <t>E [N/mm2]</t>
  </si>
  <si>
    <t>hstorey [m]</t>
  </si>
  <si>
    <t>Lv/hstorey</t>
  </si>
  <si>
    <t>Vr [kN]</t>
  </si>
  <si>
    <t>DA</t>
  </si>
  <si>
    <t>ramas cercos</t>
  </si>
  <si>
    <t>s [mm]</t>
  </si>
  <si>
    <t>fvd</t>
  </si>
  <si>
    <t>z/d</t>
  </si>
  <si>
    <t>Av [mm2]</t>
  </si>
  <si>
    <t>As,ext/(b·d)</t>
  </si>
  <si>
    <t>ρt</t>
  </si>
  <si>
    <t>fvd [N/mm2]</t>
  </si>
  <si>
    <t>(DA)</t>
  </si>
  <si>
    <t>θcr [rad]</t>
  </si>
  <si>
    <t>Mcr [kNm]</t>
  </si>
  <si>
    <t>(EH91)</t>
  </si>
  <si>
    <t>Φ cercos</t>
  </si>
  <si>
    <t>γc,d</t>
  </si>
  <si>
    <t>γy,d</t>
  </si>
  <si>
    <t>γc,m</t>
  </si>
  <si>
    <t>γy,m</t>
  </si>
  <si>
    <t>(Fardis 5.23)</t>
  </si>
  <si>
    <t>Fardis</t>
  </si>
  <si>
    <t>corregido</t>
  </si>
  <si>
    <t>N</t>
  </si>
  <si>
    <t>-</t>
  </si>
  <si>
    <t>+</t>
  </si>
  <si>
    <t>y</t>
  </si>
  <si>
    <t>yM</t>
  </si>
  <si>
    <t>yN</t>
  </si>
  <si>
    <t>y'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</si>
</sst>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0000"/>
    <numFmt numFmtId="167" formatCode="0.0"/>
    <numFmt numFmtId="170" formatCode="0.000000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" fontId="2" fillId="0" borderId="0" xfId="0" applyNumberFormat="1" applyFont="1"/>
    <xf numFmtId="0" fontId="0" fillId="0" borderId="2" xfId="0" applyBorder="1"/>
    <xf numFmtId="0" fontId="3" fillId="0" borderId="0" xfId="0" applyFont="1"/>
    <xf numFmtId="2" fontId="0" fillId="0" borderId="0" xfId="0" applyNumberFormat="1"/>
    <xf numFmtId="0" fontId="3" fillId="0" borderId="0" xfId="0" applyFont="1" applyFill="1" applyBorder="1"/>
    <xf numFmtId="0" fontId="0" fillId="0" borderId="3" xfId="0" applyBorder="1"/>
    <xf numFmtId="1" fontId="0" fillId="0" borderId="0" xfId="0" applyNumberFormat="1"/>
    <xf numFmtId="0" fontId="0" fillId="2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5" fillId="2" borderId="0" xfId="0" applyFont="1" applyFill="1"/>
    <xf numFmtId="2" fontId="5" fillId="2" borderId="0" xfId="0" applyNumberFormat="1" applyFont="1" applyFill="1"/>
    <xf numFmtId="0" fontId="5" fillId="3" borderId="0" xfId="0" applyFont="1" applyFill="1"/>
    <xf numFmtId="2" fontId="5" fillId="3" borderId="0" xfId="0" applyNumberFormat="1" applyFont="1" applyFill="1"/>
    <xf numFmtId="2" fontId="0" fillId="0" borderId="3" xfId="0" applyNumberFormat="1" applyBorder="1"/>
    <xf numFmtId="0" fontId="0" fillId="3" borderId="0" xfId="0" applyFill="1"/>
    <xf numFmtId="0" fontId="0" fillId="0" borderId="0" xfId="0" applyFill="1"/>
    <xf numFmtId="0" fontId="0" fillId="0" borderId="0" xfId="0" applyBorder="1"/>
    <xf numFmtId="1" fontId="0" fillId="0" borderId="3" xfId="0" applyNumberFormat="1" applyBorder="1"/>
    <xf numFmtId="0" fontId="3" fillId="4" borderId="0" xfId="0" applyFont="1" applyFill="1"/>
    <xf numFmtId="2" fontId="0" fillId="4" borderId="0" xfId="0" applyNumberFormat="1" applyFill="1" applyBorder="1"/>
    <xf numFmtId="0" fontId="0" fillId="4" borderId="0" xfId="0" applyFill="1"/>
    <xf numFmtId="1" fontId="0" fillId="2" borderId="0" xfId="0" applyNumberFormat="1" applyFill="1"/>
    <xf numFmtId="2" fontId="0" fillId="0" borderId="0" xfId="0" applyNumberFormat="1" applyBorder="1"/>
    <xf numFmtId="2" fontId="0" fillId="4" borderId="0" xfId="0" applyNumberFormat="1" applyFill="1"/>
    <xf numFmtId="0" fontId="5" fillId="0" borderId="0" xfId="0" applyFont="1" applyFill="1"/>
    <xf numFmtId="2" fontId="5" fillId="0" borderId="0" xfId="0" applyNumberFormat="1" applyFont="1" applyFill="1"/>
    <xf numFmtId="164" fontId="0" fillId="0" borderId="0" xfId="0" applyNumberFormat="1"/>
    <xf numFmtId="11" fontId="0" fillId="0" borderId="0" xfId="0" applyNumberFormat="1"/>
    <xf numFmtId="165" fontId="0" fillId="0" borderId="0" xfId="0" applyNumberFormat="1"/>
    <xf numFmtId="1" fontId="0" fillId="0" borderId="1" xfId="0" applyNumberFormat="1" applyBorder="1"/>
    <xf numFmtId="2" fontId="1" fillId="0" borderId="0" xfId="0" applyNumberFormat="1" applyFont="1"/>
    <xf numFmtId="0" fontId="0" fillId="0" borderId="6" xfId="0" applyNumberFormat="1" applyBorder="1"/>
    <xf numFmtId="0" fontId="0" fillId="0" borderId="8" xfId="0" applyNumberFormat="1" applyBorder="1"/>
    <xf numFmtId="0" fontId="3" fillId="0" borderId="9" xfId="0" applyFont="1" applyBorder="1"/>
    <xf numFmtId="2" fontId="0" fillId="0" borderId="10" xfId="0" applyNumberFormat="1" applyBorder="1"/>
    <xf numFmtId="1" fontId="3" fillId="0" borderId="0" xfId="0" applyNumberFormat="1" applyFont="1"/>
    <xf numFmtId="166" fontId="0" fillId="2" borderId="0" xfId="0" applyNumberFormat="1" applyFill="1"/>
    <xf numFmtId="167" fontId="0" fillId="0" borderId="0" xfId="0" applyNumberFormat="1"/>
    <xf numFmtId="167" fontId="0" fillId="2" borderId="0" xfId="0" applyNumberFormat="1" applyFill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5" zoomScaleNormal="85" workbookViewId="0">
      <selection activeCell="G5" sqref="G5"/>
    </sheetView>
  </sheetViews>
  <sheetFormatPr baseColWidth="10" defaultColWidth="9.140625" defaultRowHeight="15" x14ac:dyDescent="0.25"/>
  <cols>
    <col min="1" max="1" width="13.5703125" bestFit="1" customWidth="1"/>
    <col min="2" max="2" width="11" bestFit="1" customWidth="1"/>
    <col min="5" max="5" width="11.140625" customWidth="1"/>
    <col min="7" max="7" width="12.42578125" bestFit="1" customWidth="1"/>
    <col min="8" max="8" width="10.42578125" bestFit="1" customWidth="1"/>
    <col min="9" max="9" width="9.7109375" bestFit="1" customWidth="1"/>
    <col min="10" max="10" width="10.7109375" bestFit="1" customWidth="1"/>
    <col min="12" max="12" width="12.7109375" customWidth="1"/>
    <col min="13" max="13" width="12" bestFit="1" customWidth="1"/>
    <col min="15" max="15" width="10.5703125" bestFit="1" customWidth="1"/>
    <col min="16" max="16" width="12" bestFit="1" customWidth="1"/>
  </cols>
  <sheetData>
    <row r="1" spans="1:22" x14ac:dyDescent="0.25">
      <c r="A1" s="1" t="s">
        <v>0</v>
      </c>
      <c r="E1" s="1" t="s">
        <v>1</v>
      </c>
      <c r="L1" s="1" t="s">
        <v>97</v>
      </c>
    </row>
    <row r="2" spans="1:22" x14ac:dyDescent="0.25">
      <c r="A2" t="s">
        <v>2</v>
      </c>
      <c r="B2" s="3">
        <v>30</v>
      </c>
      <c r="G2" s="2" t="s">
        <v>4</v>
      </c>
      <c r="H2" s="4">
        <f>B25*1000/(B13*B9)</f>
        <v>60.100033373022129</v>
      </c>
      <c r="L2" s="6" t="s">
        <v>99</v>
      </c>
      <c r="M2" s="42">
        <f>B23/($B$13*$B$14)</f>
        <v>5.529203070318036E-3</v>
      </c>
    </row>
    <row r="3" spans="1:22" x14ac:dyDescent="0.25">
      <c r="A3" t="s">
        <v>3</v>
      </c>
      <c r="B3" s="5">
        <v>500</v>
      </c>
      <c r="G3" s="2" t="s">
        <v>9</v>
      </c>
      <c r="H3" s="4">
        <f>B26*1000/(B13*B9)</f>
        <v>87.418230360759466</v>
      </c>
      <c r="L3" s="6" t="s">
        <v>98</v>
      </c>
      <c r="M3" s="42">
        <f>B24/($B$13*$B$14)</f>
        <v>8.0424771931898696E-3</v>
      </c>
    </row>
    <row r="4" spans="1:22" x14ac:dyDescent="0.25">
      <c r="A4" s="6" t="s">
        <v>5</v>
      </c>
      <c r="B4">
        <v>1.5</v>
      </c>
      <c r="E4" s="11" t="s">
        <v>6</v>
      </c>
      <c r="F4" s="54">
        <f>(MAX(B25*1000*MAX(B16-0.5*B25*1000/(B13*B9),B16-B15),1000*MIN(B25,B26)*(B16-B15)+1000*MAX(0,B25-B26)*(B16-0.5*1000*(B25-B26)/(B13*B9))))/1000000</f>
        <v>152.87644887379716</v>
      </c>
      <c r="G4" s="53">
        <f>(1000*MIN(B25,B26)*(B16-B15)+1000*MAX(0,B25-B26)*(B16-0.5*1000*(B25-B26)/(B13*B9)))/1000000</f>
        <v>147.1248816971582</v>
      </c>
      <c r="H4" s="53">
        <f>B25*(B16-H2/2000)/1000</f>
        <v>163.70165486607797</v>
      </c>
      <c r="I4" s="53">
        <f>0.85*B16*B25/1000</f>
        <v>139.15561727189544</v>
      </c>
      <c r="L4" s="6" t="s">
        <v>101</v>
      </c>
      <c r="M4" s="45">
        <f>22000*(B9/10)^0.3</f>
        <v>27085.177093588158</v>
      </c>
    </row>
    <row r="5" spans="1:22" x14ac:dyDescent="0.25">
      <c r="A5" s="6" t="s">
        <v>7</v>
      </c>
      <c r="B5">
        <v>1.1499999999999999</v>
      </c>
      <c r="E5" s="11" t="s">
        <v>11</v>
      </c>
      <c r="F5" s="54">
        <f>(MAX(B26*1000*MAX(B16-0.5*B26*1000/(B13*B9),B16-B15),1000*MIN(B26,B25)*(B16-B15)+1000*MAX(0,B26-B25)*(B16-0.5*1000*(B26-B25)/(B13*B9))))/1000000</f>
        <v>219.30079863177221</v>
      </c>
      <c r="G5" s="53">
        <f>B26*1000*MAX(B16-0.5*B26*1000/(B13*B9),B16-B15)/1000000</f>
        <v>215.20141850448834</v>
      </c>
      <c r="H5" s="53">
        <f>B26*(B16-H3/2000)/1000</f>
        <v>238.10433366171054</v>
      </c>
      <c r="I5" s="53">
        <f>0.85*B16*B26/1000</f>
        <v>202.40817057730246</v>
      </c>
      <c r="L5" s="6" t="s">
        <v>100</v>
      </c>
      <c r="M5" s="5">
        <v>210000</v>
      </c>
    </row>
    <row r="6" spans="1:22" x14ac:dyDescent="0.25">
      <c r="A6" s="6" t="s">
        <v>8</v>
      </c>
      <c r="B6">
        <v>8</v>
      </c>
      <c r="F6" t="s">
        <v>167</v>
      </c>
      <c r="G6" t="s">
        <v>166</v>
      </c>
      <c r="H6" t="s">
        <v>123</v>
      </c>
      <c r="I6" t="s">
        <v>122</v>
      </c>
      <c r="L6" s="6" t="s">
        <v>102</v>
      </c>
      <c r="M6" s="7">
        <f>M5/M4</f>
        <v>7.7533183288549754</v>
      </c>
    </row>
    <row r="7" spans="1:22" x14ac:dyDescent="0.25">
      <c r="A7" s="6" t="s">
        <v>10</v>
      </c>
      <c r="B7" s="7">
        <f>1.45/1.15</f>
        <v>1.2608695652173914</v>
      </c>
      <c r="F7" t="s">
        <v>168</v>
      </c>
      <c r="L7" s="6" t="s">
        <v>103</v>
      </c>
      <c r="M7" s="9">
        <v>0</v>
      </c>
    </row>
    <row r="8" spans="1:22" x14ac:dyDescent="0.25">
      <c r="A8" s="8" t="s">
        <v>12</v>
      </c>
      <c r="B8" s="9" t="s">
        <v>60</v>
      </c>
      <c r="L8" s="6" t="s">
        <v>104</v>
      </c>
      <c r="M8" s="7">
        <f>B15/B16</f>
        <v>0.1013215859030837</v>
      </c>
      <c r="V8" s="55"/>
    </row>
    <row r="9" spans="1:22" x14ac:dyDescent="0.25">
      <c r="A9" t="s">
        <v>14</v>
      </c>
      <c r="B9" s="7">
        <f>IF(B8="d",B2/B4,IF(B8="k",B2,B2+B6))</f>
        <v>20</v>
      </c>
      <c r="L9" s="6" t="s">
        <v>105</v>
      </c>
      <c r="M9" s="44">
        <f>M3+M2+M7/(B13*B16*B10)</f>
        <v>1.3571680263507906E-2</v>
      </c>
    </row>
    <row r="10" spans="1:22" x14ac:dyDescent="0.25">
      <c r="A10" t="s">
        <v>15</v>
      </c>
      <c r="B10" s="7">
        <f>IF(B8="d",B3/B5,IF(B8="k",B3,B3*B7))</f>
        <v>434.78260869565219</v>
      </c>
      <c r="G10" t="s">
        <v>172</v>
      </c>
      <c r="H10" t="s">
        <v>173</v>
      </c>
      <c r="I10" t="s">
        <v>174</v>
      </c>
      <c r="J10" t="s">
        <v>175</v>
      </c>
      <c r="L10" s="6" t="s">
        <v>109</v>
      </c>
      <c r="M10" s="9">
        <v>5</v>
      </c>
    </row>
    <row r="11" spans="1:22" x14ac:dyDescent="0.25">
      <c r="E11" t="s">
        <v>170</v>
      </c>
      <c r="F11" s="53">
        <f>MAX(1000*MIN(B25,B26)*(B16-B15)+1000*MAX(0,B25-B26)*(B16-H11/2)+1000*G15*(B14/2-H11-I11/2),1000*B25*(B16-J11/2)-1000*G15*(B14/2-J11/2))/1000000</f>
        <v>152.87644887379716</v>
      </c>
      <c r="G11" s="10">
        <f>1000*(B25-B26-G15)/(B13*B9)</f>
        <v>-27.318196987737331</v>
      </c>
      <c r="H11" s="10">
        <f>1000*(B25-B26)/(B13*B9)</f>
        <v>-27.318196987737331</v>
      </c>
      <c r="I11" s="10">
        <f>-1000*G15/(B13*B9)</f>
        <v>0</v>
      </c>
      <c r="J11" s="10">
        <f>1000*(B25-G15)/(B13*B9)</f>
        <v>60.100033373022129</v>
      </c>
      <c r="L11" s="6" t="s">
        <v>118</v>
      </c>
      <c r="M11">
        <f>M10/2*1000</f>
        <v>2500</v>
      </c>
    </row>
    <row r="12" spans="1:22" x14ac:dyDescent="0.25">
      <c r="A12" s="1" t="s">
        <v>16</v>
      </c>
      <c r="E12" t="s">
        <v>171</v>
      </c>
      <c r="F12" s="53">
        <f>MAX(1000*MIN(B26,B25)*(B16-B15)+1000*MAX(0,B26-B25)*(B16-H12/2)+1000*G15*(B14/2-H12-I12/2),1000*B26*(B16-J12/2)-1000*G15*(B14/2-J12/2))/1000000</f>
        <v>219.30079863177221</v>
      </c>
      <c r="G12" s="10">
        <f>1000*(B26-B25-G15)/(B13*B9)</f>
        <v>27.318196987737331</v>
      </c>
      <c r="H12" s="10">
        <f>1000*(B26-B25)/(B13*B9)</f>
        <v>27.318196987737331</v>
      </c>
      <c r="I12" s="10">
        <f>-1000*G15/(B13*B9)</f>
        <v>0</v>
      </c>
      <c r="J12" s="10">
        <f>1000*(B26-G15)/(B13*B9)</f>
        <v>87.418230360759466</v>
      </c>
    </row>
    <row r="13" spans="1:22" x14ac:dyDescent="0.25">
      <c r="A13" t="s">
        <v>17</v>
      </c>
      <c r="B13" s="3">
        <v>300</v>
      </c>
      <c r="L13" t="s">
        <v>107</v>
      </c>
      <c r="O13" t="s">
        <v>121</v>
      </c>
    </row>
    <row r="14" spans="1:22" x14ac:dyDescent="0.25">
      <c r="A14" t="s">
        <v>18</v>
      </c>
      <c r="B14" s="12">
        <v>500</v>
      </c>
      <c r="L14" s="6" t="s">
        <v>106</v>
      </c>
      <c r="M14" s="44">
        <f>M3+M2*M8+M7/(B13*B16*B10)</f>
        <v>8.6027048170546922E-3</v>
      </c>
      <c r="O14" s="6" t="s">
        <v>106</v>
      </c>
      <c r="P14" s="44">
        <f>M2+M3*M8+M7/(B13*B16*B10)</f>
        <v>6.344079614121415E-3</v>
      </c>
    </row>
    <row r="15" spans="1:22" x14ac:dyDescent="0.25">
      <c r="A15" t="s">
        <v>19</v>
      </c>
      <c r="B15" s="5">
        <v>46</v>
      </c>
      <c r="F15" t="s">
        <v>169</v>
      </c>
      <c r="G15">
        <v>0</v>
      </c>
      <c r="L15" s="6" t="s">
        <v>108</v>
      </c>
      <c r="M15" s="7">
        <f>(M6^2*M9^2+2*M6*M14)^0.5-M6*M9</f>
        <v>0.27486842549698687</v>
      </c>
      <c r="O15" s="6" t="s">
        <v>108</v>
      </c>
      <c r="P15" s="7">
        <f>(M6^2*M9^2+2*M6*M14)^0.5-M6*M9</f>
        <v>0.27486842549698687</v>
      </c>
    </row>
    <row r="16" spans="1:22" x14ac:dyDescent="0.25">
      <c r="A16" t="s">
        <v>20</v>
      </c>
      <c r="B16">
        <f>B14-B15</f>
        <v>454</v>
      </c>
      <c r="L16" s="6" t="s">
        <v>112</v>
      </c>
      <c r="M16" s="43">
        <f>B10/(M5*(1-M15)*B16)</f>
        <v>6.2889798074949014E-6</v>
      </c>
      <c r="O16" s="6" t="s">
        <v>112</v>
      </c>
      <c r="P16" s="43">
        <f>B10/(M5*(1-M15)*B16)</f>
        <v>6.2889798074949014E-6</v>
      </c>
    </row>
    <row r="17" spans="1:16" x14ac:dyDescent="0.25">
      <c r="A17" t="s">
        <v>21</v>
      </c>
      <c r="B17">
        <f>B16-B15</f>
        <v>408</v>
      </c>
      <c r="L17" s="6" t="s">
        <v>116</v>
      </c>
      <c r="O17" s="6" t="s">
        <v>116</v>
      </c>
      <c r="P17" s="43"/>
    </row>
    <row r="18" spans="1:16" x14ac:dyDescent="0.25">
      <c r="L18" s="6" t="s">
        <v>117</v>
      </c>
      <c r="M18" s="7">
        <f>M17/M16</f>
        <v>0</v>
      </c>
      <c r="O18" s="6" t="s">
        <v>117</v>
      </c>
      <c r="P18" s="7">
        <f>P17/P16</f>
        <v>0</v>
      </c>
    </row>
    <row r="19" spans="1:16" x14ac:dyDescent="0.25">
      <c r="A19" s="1" t="s">
        <v>22</v>
      </c>
      <c r="B19" t="s">
        <v>23</v>
      </c>
      <c r="C19" s="6" t="s">
        <v>24</v>
      </c>
      <c r="L19" s="6" t="s">
        <v>113</v>
      </c>
      <c r="M19" s="44">
        <f>M16*M11/3+0.0013*(1+1.5*B14/M11)+0.13*M16*C24*B10/B9^0.5</f>
        <v>8.2025634465091798E-3</v>
      </c>
      <c r="O19" s="6" t="s">
        <v>113</v>
      </c>
      <c r="P19" s="44">
        <f>M16*M11/3+0.0013*(1+1.5*B14/M11)+0.13*M16*C23*B10/B9^0.5</f>
        <v>8.0753887524828375E-3</v>
      </c>
    </row>
    <row r="20" spans="1:16" x14ac:dyDescent="0.25">
      <c r="A20" t="s">
        <v>25</v>
      </c>
      <c r="B20" s="13">
        <v>3</v>
      </c>
      <c r="C20" s="14">
        <v>16</v>
      </c>
      <c r="L20" s="6" t="s">
        <v>114</v>
      </c>
      <c r="M20" s="44">
        <f>0.016*0.3^(M7*1000/(B13*B14*B9))*(MAX(0.01,B27)/MAX(0.01,B28)*B9)^0.225*(M11/B14)^0.35</f>
        <v>5.068478297655396E-2</v>
      </c>
      <c r="O20" s="6" t="s">
        <v>114</v>
      </c>
      <c r="P20" s="44">
        <f>0.016*0.3^A30*(MAX(0.01,B28)/MAX(0.01,B27)*B9)^0.225*(M11/B14)^0.35</f>
        <v>5.9993593364680679E-2</v>
      </c>
    </row>
    <row r="21" spans="1:16" x14ac:dyDescent="0.25">
      <c r="A21" t="s">
        <v>26</v>
      </c>
      <c r="B21" s="15">
        <v>2</v>
      </c>
      <c r="C21" s="16">
        <v>12</v>
      </c>
      <c r="L21" s="6" t="s">
        <v>115</v>
      </c>
      <c r="M21" s="7">
        <f>M20/M19</f>
        <v>6.1791394003936935</v>
      </c>
      <c r="O21" s="6" t="s">
        <v>115</v>
      </c>
      <c r="P21" s="7">
        <f>P20/P19</f>
        <v>7.4291895044972556</v>
      </c>
    </row>
    <row r="22" spans="1:16" x14ac:dyDescent="0.25">
      <c r="A22" t="s">
        <v>27</v>
      </c>
      <c r="B22" s="17">
        <v>6</v>
      </c>
      <c r="C22" s="18">
        <v>16</v>
      </c>
    </row>
    <row r="23" spans="1:16" x14ac:dyDescent="0.25">
      <c r="A23" t="s">
        <v>28</v>
      </c>
      <c r="B23" s="10">
        <f>PI()/4*(B20*C20^2+B21*C21^2)</f>
        <v>829.38046054770541</v>
      </c>
      <c r="C23" s="53">
        <f>(B20*C20+B21*C21)/(B20+B21)</f>
        <v>14.4</v>
      </c>
      <c r="D23" t="s">
        <v>110</v>
      </c>
    </row>
    <row r="24" spans="1:16" x14ac:dyDescent="0.25">
      <c r="A24" t="s">
        <v>29</v>
      </c>
      <c r="B24" s="10">
        <f>PI()/4*B22*C22^2</f>
        <v>1206.3715789784806</v>
      </c>
      <c r="C24" s="53">
        <f>C22</f>
        <v>16</v>
      </c>
      <c r="D24" t="s">
        <v>111</v>
      </c>
    </row>
    <row r="25" spans="1:16" x14ac:dyDescent="0.25">
      <c r="A25" t="s">
        <v>30</v>
      </c>
      <c r="B25" s="10">
        <f>B23*$B$10/1000</f>
        <v>360.6002002381328</v>
      </c>
    </row>
    <row r="26" spans="1:16" x14ac:dyDescent="0.25">
      <c r="A26" t="s">
        <v>31</v>
      </c>
      <c r="B26" s="10">
        <f>B24*$B$10/1000</f>
        <v>524.50938216455677</v>
      </c>
    </row>
    <row r="27" spans="1:16" x14ac:dyDescent="0.25">
      <c r="A27" s="6" t="s">
        <v>119</v>
      </c>
      <c r="B27" s="7">
        <f>B25*1000/($B$13*B$14*$B$9)</f>
        <v>0.12020006674604426</v>
      </c>
    </row>
    <row r="28" spans="1:16" x14ac:dyDescent="0.25">
      <c r="A28" s="6" t="s">
        <v>120</v>
      </c>
      <c r="B28" s="7">
        <f>B26*1000/($B$13*B$14*$B$9)</f>
        <v>0.17483646072151893</v>
      </c>
    </row>
  </sheetData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'(auxiliar)'!$C$2:$C$4</xm:f>
          </x14:formula1>
          <xm:sqref>B8</xm:sqref>
        </x14:dataValidation>
        <x14:dataValidation type="list" allowBlank="1" showInputMessage="1" showErrorMessage="1" promptTitle="diámetro">
          <x14:formula1>
            <xm:f>'(auxiliar)'!$A$2:$A$10</xm:f>
          </x14:formula1>
          <xm:sqref>C20:C22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85" zoomScaleNormal="85" workbookViewId="0">
      <selection activeCell="H26" sqref="H26"/>
    </sheetView>
  </sheetViews>
  <sheetFormatPr baseColWidth="10" defaultColWidth="9.140625" defaultRowHeight="15" x14ac:dyDescent="0.25"/>
  <cols>
    <col min="1" max="1" width="14" bestFit="1" customWidth="1"/>
    <col min="4" max="4" width="13.42578125" bestFit="1" customWidth="1"/>
    <col min="5" max="5" width="10.85546875" customWidth="1"/>
    <col min="8" max="8" width="13.85546875" bestFit="1" customWidth="1"/>
  </cols>
  <sheetData>
    <row r="1" spans="1:12" x14ac:dyDescent="0.25">
      <c r="A1" s="1" t="s">
        <v>0</v>
      </c>
      <c r="E1" s="1" t="s">
        <v>22</v>
      </c>
      <c r="I1" s="19" t="s">
        <v>1</v>
      </c>
      <c r="J1" s="20"/>
    </row>
    <row r="2" spans="1:12" x14ac:dyDescent="0.25">
      <c r="A2" t="s">
        <v>2</v>
      </c>
      <c r="B2" s="3">
        <v>25.8</v>
      </c>
      <c r="E2" t="s">
        <v>45</v>
      </c>
      <c r="F2" s="3">
        <v>12</v>
      </c>
      <c r="I2" s="20" t="s">
        <v>32</v>
      </c>
      <c r="J2" s="21">
        <f>B31*1000/(B19*B11)</f>
        <v>0</v>
      </c>
    </row>
    <row r="3" spans="1:12" x14ac:dyDescent="0.25">
      <c r="A3" t="s">
        <v>33</v>
      </c>
      <c r="B3" s="5">
        <v>1</v>
      </c>
      <c r="E3" t="s">
        <v>46</v>
      </c>
      <c r="F3" s="12">
        <v>4</v>
      </c>
      <c r="I3" s="20" t="s">
        <v>34</v>
      </c>
      <c r="J3" s="22">
        <f>(B31*1000*(B20-J2)/2)/1000000</f>
        <v>0</v>
      </c>
      <c r="K3" s="23"/>
      <c r="L3" s="23"/>
    </row>
    <row r="4" spans="1:12" x14ac:dyDescent="0.25">
      <c r="A4" t="s">
        <v>35</v>
      </c>
      <c r="B4" s="7">
        <f>B2*B3</f>
        <v>25.8</v>
      </c>
      <c r="E4" s="6" t="s">
        <v>24</v>
      </c>
      <c r="F4" s="5">
        <v>14</v>
      </c>
      <c r="I4" s="20" t="s">
        <v>36</v>
      </c>
      <c r="J4" s="22">
        <f>F10*B23/1000</f>
        <v>127.18853468667928</v>
      </c>
      <c r="K4" s="24">
        <f>J2/B20</f>
        <v>0</v>
      </c>
      <c r="L4" s="23" t="s">
        <v>37</v>
      </c>
    </row>
    <row r="5" spans="1:12" x14ac:dyDescent="0.25">
      <c r="A5" t="s">
        <v>3</v>
      </c>
      <c r="B5" s="9">
        <v>451</v>
      </c>
      <c r="E5" s="8" t="s">
        <v>47</v>
      </c>
      <c r="F5">
        <f>2+(F2-2*F3)/2</f>
        <v>4</v>
      </c>
      <c r="I5" s="20" t="s">
        <v>38</v>
      </c>
      <c r="J5" s="22">
        <f>F11*2*B24/1000*F7</f>
        <v>42.396178228893092</v>
      </c>
      <c r="K5" s="23"/>
      <c r="L5" s="23"/>
    </row>
    <row r="6" spans="1:12" x14ac:dyDescent="0.25">
      <c r="A6" s="6" t="s">
        <v>162</v>
      </c>
      <c r="B6">
        <v>1.5</v>
      </c>
      <c r="E6" s="8" t="s">
        <v>48</v>
      </c>
      <c r="F6">
        <f>IF(G9="PAR",(F5-2)/2,(F5-3)/2)</f>
        <v>1</v>
      </c>
      <c r="G6" t="s">
        <v>49</v>
      </c>
      <c r="I6" s="25" t="s">
        <v>39</v>
      </c>
      <c r="J6" s="26">
        <f>SUM(J3:J5)</f>
        <v>169.58471291557237</v>
      </c>
      <c r="K6" s="23"/>
      <c r="L6" s="23"/>
    </row>
    <row r="7" spans="1:12" x14ac:dyDescent="0.25">
      <c r="A7" s="6" t="s">
        <v>163</v>
      </c>
      <c r="B7">
        <v>1.1499999999999999</v>
      </c>
      <c r="E7" t="s">
        <v>50</v>
      </c>
      <c r="F7">
        <f>IF(F6=0,0,IF(F6=1,'(auxiliar)'!F19,IF(F6=2,'(auxiliar)'!G20,IF(F6=3,'(auxiliar)'!F21,IF(F6=4,'(auxiliar)'!G22,IF(F6=5,'(auxiliar)'!F23,IF(F6=6,'(auxiliar)'!G24,IF(F6=7,'(auxiliar)'!F25,IF(F6=8,'(auxiliar)'!G26,IF(F6=9,'(auxiliar)'!F27,IF(F6=10,'(auxiliar)'!G28,IF(F6=11,'(auxiliar)'!F29,IF(F6=12,'(auxiliar)'!G30,IF(F6=13,'(auxiliar)'!F31,IF(F6=14,'(auxiliar)'!G32,IF(F6=15,'(auxiliar)'!F33))))))))))))))))</f>
        <v>1</v>
      </c>
      <c r="G7" s="7">
        <f>F5/F3</f>
        <v>1</v>
      </c>
      <c r="I7" s="20" t="s">
        <v>40</v>
      </c>
      <c r="J7" s="22">
        <v>0.6</v>
      </c>
      <c r="K7" s="23"/>
      <c r="L7" s="23"/>
    </row>
    <row r="8" spans="1:12" x14ac:dyDescent="0.25">
      <c r="A8" s="6" t="s">
        <v>164</v>
      </c>
      <c r="B8">
        <v>8</v>
      </c>
      <c r="E8" t="s">
        <v>51</v>
      </c>
      <c r="F8" s="10">
        <f>PI()/4*F3*F4^2</f>
        <v>615.75216010359941</v>
      </c>
      <c r="I8" s="20" t="s">
        <v>41</v>
      </c>
      <c r="J8" s="22">
        <f>(comparación!J17-comparación!J16*pilares!B32)</f>
        <v>1.0344241798631384</v>
      </c>
      <c r="K8" s="23"/>
      <c r="L8" s="23"/>
    </row>
    <row r="9" spans="1:12" x14ac:dyDescent="0.25">
      <c r="A9" s="6" t="s">
        <v>165</v>
      </c>
      <c r="B9" s="7">
        <f>1.45/1.15</f>
        <v>1.2608695652173914</v>
      </c>
      <c r="E9" t="s">
        <v>52</v>
      </c>
      <c r="F9" s="10">
        <f>IF(F5&lt;3,0,PI()/4*2*F4^2)</f>
        <v>307.8760800517997</v>
      </c>
      <c r="G9" t="str">
        <f>IF((-1)^F5&lt;0,"IMPAR","PAR")</f>
        <v>PAR</v>
      </c>
      <c r="I9" t="s">
        <v>42</v>
      </c>
      <c r="J9" s="22">
        <f>comparación!B25*pilares!G7+comparación!B26</f>
        <v>0.98617567353000912</v>
      </c>
      <c r="K9" s="23"/>
      <c r="L9" s="23"/>
    </row>
    <row r="10" spans="1:12" x14ac:dyDescent="0.25">
      <c r="A10" s="8" t="s">
        <v>12</v>
      </c>
      <c r="B10" s="9" t="s">
        <v>61</v>
      </c>
      <c r="E10" t="s">
        <v>53</v>
      </c>
      <c r="F10" s="10">
        <f>F8*B12/1000</f>
        <v>277.70422420672332</v>
      </c>
      <c r="G10" t="str">
        <f>IF((-1)^F6&lt;0,"IMPAR","PAR")</f>
        <v>IMPAR</v>
      </c>
      <c r="I10" s="27" t="s">
        <v>43</v>
      </c>
      <c r="J10" s="28">
        <f>(J3+J4+J5*J7)*J8*J9</f>
        <v>155.69768635526583</v>
      </c>
      <c r="K10" s="23"/>
      <c r="L10" s="23"/>
    </row>
    <row r="11" spans="1:12" x14ac:dyDescent="0.25">
      <c r="A11" t="s">
        <v>14</v>
      </c>
      <c r="B11" s="7">
        <f>IF(B10="d",B4/B6,IF(B10="k",B4,B4+B8))</f>
        <v>25.8</v>
      </c>
      <c r="E11" t="s">
        <v>54</v>
      </c>
      <c r="F11" s="10">
        <f>F9*B12/1000</f>
        <v>138.85211210336166</v>
      </c>
      <c r="I11" s="36" t="s">
        <v>147</v>
      </c>
      <c r="J11" s="39">
        <f>(B19*B22*B16+F21*B12*B28/F20+0.15*B31*1000)/1000</f>
        <v>183.75172031451635</v>
      </c>
      <c r="K11" t="s">
        <v>148</v>
      </c>
      <c r="L11" s="23"/>
    </row>
    <row r="12" spans="1:12" x14ac:dyDescent="0.25">
      <c r="A12" t="s">
        <v>15</v>
      </c>
      <c r="B12" s="7">
        <f>IF(B10="d",B5/B7,IF(B10="k",B5,B5*B9))</f>
        <v>451</v>
      </c>
      <c r="E12" t="s">
        <v>30</v>
      </c>
      <c r="F12" s="10">
        <f>F14-F13</f>
        <v>555.40844841344676</v>
      </c>
      <c r="G12" s="6"/>
      <c r="I12" s="20"/>
      <c r="J12" s="20"/>
    </row>
    <row r="13" spans="1:12" x14ac:dyDescent="0.25">
      <c r="A13" t="s">
        <v>141</v>
      </c>
      <c r="B13" s="9" t="s">
        <v>143</v>
      </c>
      <c r="E13" t="s">
        <v>31</v>
      </c>
      <c r="F13" s="10">
        <f>F10</f>
        <v>277.70422420672332</v>
      </c>
      <c r="I13" s="20"/>
      <c r="J13" s="20"/>
    </row>
    <row r="14" spans="1:12" x14ac:dyDescent="0.25">
      <c r="A14" s="20" t="s">
        <v>140</v>
      </c>
      <c r="B14" s="22">
        <f>IF(B13="EC2",0.3,0.37)*B11^(2/3)</f>
        <v>2.6193953891072765</v>
      </c>
      <c r="E14" t="s">
        <v>55</v>
      </c>
      <c r="F14" s="10">
        <f>PI()/4*F2*F4^2*B12/1000</f>
        <v>833.11267262017009</v>
      </c>
      <c r="I14" s="19" t="s">
        <v>139</v>
      </c>
      <c r="J14" s="20"/>
    </row>
    <row r="15" spans="1:12" x14ac:dyDescent="0.25">
      <c r="A15" t="s">
        <v>144</v>
      </c>
      <c r="B15" s="10">
        <f>22000*(B11/10)^0.3</f>
        <v>29235.36986633264</v>
      </c>
      <c r="E15" s="6" t="s">
        <v>124</v>
      </c>
      <c r="F15" s="7">
        <f>F14*1000/(B19*B20*B11)</f>
        <v>0.20841092591485028</v>
      </c>
      <c r="I15" t="s">
        <v>159</v>
      </c>
      <c r="J15" s="7">
        <f>B19*B20^2/6*B14/1000000</f>
        <v>34.361892294474501</v>
      </c>
    </row>
    <row r="16" spans="1:12" x14ac:dyDescent="0.25">
      <c r="A16" t="s">
        <v>151</v>
      </c>
      <c r="B16" s="7">
        <f>0.05*(10*B11)^0.5</f>
        <v>0.8031189202104505</v>
      </c>
      <c r="C16" t="s">
        <v>160</v>
      </c>
      <c r="E16" s="6" t="s">
        <v>125</v>
      </c>
      <c r="F16" s="44">
        <f>PI()/4*F2*F4^2/(B19*B20)</f>
        <v>1.1922398866082344E-2</v>
      </c>
      <c r="I16" s="11" t="s">
        <v>158</v>
      </c>
      <c r="J16" s="52">
        <f>B14*B25*1000/(6*B15*B20*B26)</f>
        <v>1.7637164022938915E-4</v>
      </c>
    </row>
    <row r="17" spans="1:12" x14ac:dyDescent="0.25">
      <c r="E17" t="s">
        <v>155</v>
      </c>
      <c r="F17" s="44">
        <f>F16*(F2-F3)/F2</f>
        <v>7.9482659107215619E-3</v>
      </c>
    </row>
    <row r="18" spans="1:12" x14ac:dyDescent="0.25">
      <c r="A18" s="1" t="s">
        <v>16</v>
      </c>
      <c r="E18" t="s">
        <v>161</v>
      </c>
      <c r="F18" s="3">
        <v>6</v>
      </c>
      <c r="L18">
        <f>2*172/(60+48)</f>
        <v>3.1851851851851851</v>
      </c>
    </row>
    <row r="19" spans="1:12" x14ac:dyDescent="0.25">
      <c r="A19" t="s">
        <v>17</v>
      </c>
      <c r="B19" s="3">
        <v>305</v>
      </c>
      <c r="E19" t="s">
        <v>149</v>
      </c>
      <c r="F19" s="12">
        <v>2</v>
      </c>
    </row>
    <row r="20" spans="1:12" x14ac:dyDescent="0.25">
      <c r="A20" t="s">
        <v>18</v>
      </c>
      <c r="B20" s="12">
        <v>508</v>
      </c>
      <c r="E20" t="s">
        <v>150</v>
      </c>
      <c r="F20" s="5">
        <v>160</v>
      </c>
    </row>
    <row r="21" spans="1:12" x14ac:dyDescent="0.25">
      <c r="A21" t="s">
        <v>19</v>
      </c>
      <c r="B21" s="5">
        <v>25</v>
      </c>
      <c r="E21" t="s">
        <v>153</v>
      </c>
      <c r="F21" s="7">
        <f>F19*PI()/4*F18^2</f>
        <v>56.548667764616276</v>
      </c>
    </row>
    <row r="22" spans="1:12" x14ac:dyDescent="0.25">
      <c r="A22" t="s">
        <v>20</v>
      </c>
      <c r="B22">
        <f>B20-B21</f>
        <v>483</v>
      </c>
      <c r="E22" s="20"/>
      <c r="F22" s="20"/>
    </row>
    <row r="23" spans="1:12" x14ac:dyDescent="0.25">
      <c r="A23" t="s">
        <v>21</v>
      </c>
      <c r="B23">
        <f>B22-B21</f>
        <v>458</v>
      </c>
      <c r="E23" s="20"/>
      <c r="F23" s="20"/>
    </row>
    <row r="24" spans="1:12" x14ac:dyDescent="0.25">
      <c r="A24" t="s">
        <v>44</v>
      </c>
      <c r="B24">
        <f>B23/(F5-1)</f>
        <v>152.66666666666666</v>
      </c>
      <c r="E24" s="20"/>
      <c r="F24" s="20"/>
    </row>
    <row r="25" spans="1:12" x14ac:dyDescent="0.25">
      <c r="A25" t="s">
        <v>145</v>
      </c>
      <c r="B25">
        <v>3</v>
      </c>
      <c r="E25" s="20"/>
      <c r="F25" s="20"/>
    </row>
    <row r="26" spans="1:12" x14ac:dyDescent="0.25">
      <c r="A26" t="s">
        <v>146</v>
      </c>
      <c r="B26" s="9">
        <v>0.5</v>
      </c>
      <c r="E26" s="20"/>
      <c r="F26" s="20"/>
    </row>
    <row r="27" spans="1:12" x14ac:dyDescent="0.25">
      <c r="A27" t="s">
        <v>152</v>
      </c>
      <c r="B27">
        <v>0.85</v>
      </c>
      <c r="E27" s="20"/>
      <c r="F27" s="20"/>
    </row>
    <row r="28" spans="1:12" x14ac:dyDescent="0.25">
      <c r="A28" t="s">
        <v>129</v>
      </c>
      <c r="B28" s="10">
        <f>B27*B22</f>
        <v>410.55</v>
      </c>
      <c r="E28" s="20"/>
      <c r="F28" s="20"/>
    </row>
    <row r="29" spans="1:12" x14ac:dyDescent="0.25">
      <c r="E29" s="20"/>
      <c r="F29" s="20"/>
    </row>
    <row r="30" spans="1:12" x14ac:dyDescent="0.25">
      <c r="A30" s="1" t="s">
        <v>56</v>
      </c>
      <c r="E30" s="20"/>
      <c r="F30" s="20"/>
    </row>
    <row r="31" spans="1:12" x14ac:dyDescent="0.25">
      <c r="A31" t="s">
        <v>57</v>
      </c>
      <c r="B31" s="29">
        <v>0</v>
      </c>
      <c r="E31" s="20"/>
      <c r="F31" s="20"/>
    </row>
    <row r="32" spans="1:12" x14ac:dyDescent="0.25">
      <c r="A32" s="6" t="s">
        <v>58</v>
      </c>
      <c r="B32" s="7">
        <f>B31*1000/(B19*B20*B11)</f>
        <v>0</v>
      </c>
      <c r="E32" s="20"/>
      <c r="F32" s="20"/>
    </row>
    <row r="33" spans="5:6" x14ac:dyDescent="0.25">
      <c r="E33" s="20"/>
      <c r="F33" s="20"/>
    </row>
    <row r="34" spans="5:6" x14ac:dyDescent="0.25">
      <c r="E34" s="20"/>
      <c r="F34" s="20"/>
    </row>
    <row r="35" spans="5:6" x14ac:dyDescent="0.25">
      <c r="E35" s="20"/>
      <c r="F35" s="20"/>
    </row>
    <row r="36" spans="5:6" x14ac:dyDescent="0.25">
      <c r="E36" s="20"/>
      <c r="F36" s="20"/>
    </row>
    <row r="37" spans="5:6" x14ac:dyDescent="0.25">
      <c r="E37" s="20"/>
      <c r="F37" s="20"/>
    </row>
    <row r="38" spans="5:6" x14ac:dyDescent="0.25">
      <c r="E38" s="20"/>
      <c r="F38" s="20"/>
    </row>
    <row r="39" spans="5:6" x14ac:dyDescent="0.25">
      <c r="E39" s="20"/>
      <c r="F39" s="20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'(auxiliar)'!$A$13:$A$14</xm:f>
          </x14:formula1>
          <xm:sqref>B3</xm:sqref>
        </x14:dataValidation>
        <x14:dataValidation type="list" allowBlank="1" showInputMessage="1" showErrorMessage="1">
          <x14:formula1>
            <xm:f>'(auxiliar)'!$C$2:$C$4</xm:f>
          </x14:formula1>
          <xm:sqref>B10</xm:sqref>
        </x14:dataValidation>
        <x14:dataValidation type="list" allowBlank="1" showInputMessage="1" showErrorMessage="1">
          <x14:formula1>
            <xm:f>'(auxiliar)'!$A$18:$A$19</xm:f>
          </x14:formula1>
          <xm:sqref>B13</xm:sqref>
        </x14:dataValidation>
        <x14:dataValidation type="list" allowBlank="1" showInputMessage="1" showErrorMessage="1" promptTitle="diámetro">
          <x14:formula1>
            <xm:f>'(auxiliar)'!$A$2:$A$10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3" sqref="D13"/>
    </sheetView>
  </sheetViews>
  <sheetFormatPr baseColWidth="10" defaultColWidth="9.140625" defaultRowHeight="15" x14ac:dyDescent="0.25"/>
  <cols>
    <col min="1" max="1" width="12.42578125" customWidth="1"/>
    <col min="4" max="4" width="10.28515625" customWidth="1"/>
  </cols>
  <sheetData>
    <row r="1" spans="1:5" x14ac:dyDescent="0.25">
      <c r="A1" s="1" t="s">
        <v>0</v>
      </c>
      <c r="D1" s="1" t="s">
        <v>67</v>
      </c>
    </row>
    <row r="2" spans="1:5" x14ac:dyDescent="0.25">
      <c r="A2" t="s">
        <v>68</v>
      </c>
      <c r="B2" s="7">
        <f>pilares!B4/pilares!B3</f>
        <v>25.8</v>
      </c>
      <c r="D2" s="6" t="s">
        <v>69</v>
      </c>
      <c r="E2" s="9">
        <v>0.59</v>
      </c>
    </row>
    <row r="3" spans="1:5" x14ac:dyDescent="0.25">
      <c r="D3" s="6" t="s">
        <v>70</v>
      </c>
      <c r="E3" s="7">
        <f>E2*B10*B2/1000</f>
        <v>2358.4966799999997</v>
      </c>
    </row>
    <row r="4" spans="1:5" x14ac:dyDescent="0.25">
      <c r="A4" s="1" t="s">
        <v>16</v>
      </c>
    </row>
    <row r="5" spans="1:5" x14ac:dyDescent="0.25">
      <c r="A5" t="str">
        <f>pilares!A19</f>
        <v>b [mm]</v>
      </c>
      <c r="B5" s="32">
        <f>pilares!B19</f>
        <v>305</v>
      </c>
      <c r="D5" s="1" t="s">
        <v>71</v>
      </c>
    </row>
    <row r="6" spans="1:5" x14ac:dyDescent="0.25">
      <c r="A6" t="str">
        <f>pilares!A20</f>
        <v>h [mm]</v>
      </c>
      <c r="B6" s="32">
        <f>pilares!B20</f>
        <v>508</v>
      </c>
      <c r="D6" s="6" t="s">
        <v>70</v>
      </c>
      <c r="E6" s="33">
        <f>pilares!F14</f>
        <v>833.11267262017009</v>
      </c>
    </row>
    <row r="7" spans="1:5" x14ac:dyDescent="0.25">
      <c r="A7" t="str">
        <f>pilares!A21</f>
        <v>d' [mm]</v>
      </c>
      <c r="B7" s="32">
        <f>pilares!B21</f>
        <v>25</v>
      </c>
      <c r="D7" s="34" t="s">
        <v>72</v>
      </c>
      <c r="E7" s="35">
        <f>E6/(B10*B2)*1000</f>
        <v>0.2084109259148503</v>
      </c>
    </row>
    <row r="8" spans="1:5" x14ac:dyDescent="0.25">
      <c r="A8" t="str">
        <f>pilares!A22</f>
        <v>d [mm]</v>
      </c>
      <c r="B8" s="32">
        <f>pilares!B22</f>
        <v>483</v>
      </c>
      <c r="D8" t="s">
        <v>73</v>
      </c>
      <c r="E8" s="9">
        <v>0.33</v>
      </c>
    </row>
    <row r="9" spans="1:5" x14ac:dyDescent="0.25">
      <c r="A9" s="36" t="s">
        <v>74</v>
      </c>
      <c r="B9" s="35">
        <f>B7/B6</f>
        <v>4.9212598425196853E-2</v>
      </c>
      <c r="D9" s="11" t="s">
        <v>75</v>
      </c>
      <c r="E9" s="37">
        <f>B10*B6*B2*E8/1000000</f>
        <v>670.13285328000006</v>
      </c>
    </row>
    <row r="10" spans="1:5" x14ac:dyDescent="0.25">
      <c r="A10" t="s">
        <v>76</v>
      </c>
      <c r="B10">
        <f>B5*B6</f>
        <v>154940</v>
      </c>
    </row>
    <row r="12" spans="1:5" x14ac:dyDescent="0.25">
      <c r="A12" s="1" t="s">
        <v>77</v>
      </c>
    </row>
    <row r="13" spans="1:5" x14ac:dyDescent="0.25">
      <c r="A13" t="s">
        <v>57</v>
      </c>
      <c r="B13" s="38">
        <f>pilares!B31</f>
        <v>0</v>
      </c>
    </row>
    <row r="14" spans="1:5" x14ac:dyDescent="0.25">
      <c r="A14" t="s">
        <v>78</v>
      </c>
      <c r="B14" s="29">
        <v>0</v>
      </c>
    </row>
    <row r="15" spans="1:5" x14ac:dyDescent="0.25">
      <c r="A15" s="34" t="s">
        <v>79</v>
      </c>
      <c r="B15" s="39">
        <f>B13*1000/(B10*B2)</f>
        <v>0</v>
      </c>
    </row>
    <row r="16" spans="1:5" x14ac:dyDescent="0.25">
      <c r="A16" s="34" t="s">
        <v>80</v>
      </c>
      <c r="B16" s="39">
        <f>B14*1000000/($B$10*$B$6*$B$2)</f>
        <v>0</v>
      </c>
    </row>
    <row r="17" spans="1:1" x14ac:dyDescent="0.25">
      <c r="A17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P18" sqref="P18"/>
    </sheetView>
  </sheetViews>
  <sheetFormatPr baseColWidth="10" defaultRowHeight="15" x14ac:dyDescent="0.25"/>
  <sheetData>
    <row r="1" spans="1:14" x14ac:dyDescent="0.25">
      <c r="A1" s="6" t="s">
        <v>48</v>
      </c>
      <c r="B1" s="6" t="s">
        <v>58</v>
      </c>
      <c r="C1" s="20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s="40" t="s">
        <v>89</v>
      </c>
      <c r="L1" t="s">
        <v>88</v>
      </c>
      <c r="M1" s="20"/>
      <c r="N1" s="20"/>
    </row>
    <row r="2" spans="1:14" x14ac:dyDescent="0.25">
      <c r="A2">
        <v>0</v>
      </c>
      <c r="B2">
        <v>0.2</v>
      </c>
      <c r="C2" s="20">
        <v>291</v>
      </c>
      <c r="D2">
        <v>252</v>
      </c>
      <c r="E2">
        <v>280</v>
      </c>
      <c r="F2">
        <v>270</v>
      </c>
      <c r="G2">
        <v>301</v>
      </c>
      <c r="H2" s="7">
        <f>F2/$E2</f>
        <v>0.9642857142857143</v>
      </c>
      <c r="I2" s="7">
        <f>G2/$E2</f>
        <v>1.075</v>
      </c>
      <c r="J2" s="7">
        <f>$E2/C2</f>
        <v>0.96219931271477666</v>
      </c>
      <c r="K2" s="20">
        <f>C2</f>
        <v>291</v>
      </c>
      <c r="L2" s="7">
        <f>$E2/K2</f>
        <v>0.96219931271477666</v>
      </c>
      <c r="M2" s="20"/>
      <c r="N2" s="41"/>
    </row>
    <row r="3" spans="1:14" x14ac:dyDescent="0.25">
      <c r="A3">
        <v>0</v>
      </c>
      <c r="B3">
        <v>0.5</v>
      </c>
      <c r="C3" s="20">
        <v>372</v>
      </c>
      <c r="D3">
        <v>288</v>
      </c>
      <c r="E3">
        <v>352</v>
      </c>
      <c r="F3">
        <v>306</v>
      </c>
      <c r="G3">
        <v>415</v>
      </c>
      <c r="H3" s="7">
        <f t="shared" ref="H3:I13" si="0">F3/$E3</f>
        <v>0.86931818181818177</v>
      </c>
      <c r="I3" s="7">
        <f t="shared" si="0"/>
        <v>1.1789772727272727</v>
      </c>
      <c r="J3" s="7">
        <f t="shared" ref="J3:J13" si="1">$E3/C3</f>
        <v>0.94623655913978499</v>
      </c>
      <c r="K3" s="20">
        <f>C3</f>
        <v>372</v>
      </c>
      <c r="L3" s="7">
        <f t="shared" ref="L3:L13" si="2">$E3/K3</f>
        <v>0.94623655913978499</v>
      </c>
      <c r="M3" s="20"/>
      <c r="N3" s="41"/>
    </row>
    <row r="4" spans="1:14" x14ac:dyDescent="0.25">
      <c r="A4">
        <v>0</v>
      </c>
      <c r="B4">
        <v>0.8</v>
      </c>
      <c r="C4" s="20">
        <f>C2</f>
        <v>291</v>
      </c>
      <c r="D4">
        <v>162</v>
      </c>
      <c r="E4">
        <v>240</v>
      </c>
      <c r="F4">
        <v>209</v>
      </c>
      <c r="G4">
        <v>392</v>
      </c>
      <c r="H4" s="7">
        <f t="shared" si="0"/>
        <v>0.87083333333333335</v>
      </c>
      <c r="I4" s="7">
        <f t="shared" si="0"/>
        <v>1.6333333333333333</v>
      </c>
      <c r="J4" s="7">
        <f t="shared" si="1"/>
        <v>0.82474226804123707</v>
      </c>
      <c r="K4" s="20">
        <f>K2</f>
        <v>291</v>
      </c>
      <c r="L4" s="7">
        <f t="shared" si="2"/>
        <v>0.82474226804123707</v>
      </c>
      <c r="M4" s="20"/>
      <c r="N4" s="41"/>
    </row>
    <row r="5" spans="1:14" x14ac:dyDescent="0.25">
      <c r="A5">
        <v>1</v>
      </c>
      <c r="B5">
        <v>0.2</v>
      </c>
      <c r="C5" s="20">
        <v>537</v>
      </c>
      <c r="D5">
        <v>486</v>
      </c>
      <c r="E5">
        <v>475</v>
      </c>
      <c r="F5">
        <v>437</v>
      </c>
      <c r="G5">
        <v>501</v>
      </c>
      <c r="H5" s="7">
        <f t="shared" si="0"/>
        <v>0.92</v>
      </c>
      <c r="I5" s="7">
        <f t="shared" si="0"/>
        <v>1.0547368421052632</v>
      </c>
      <c r="J5" s="7">
        <f t="shared" si="1"/>
        <v>0.88454376163873372</v>
      </c>
      <c r="K5" s="20">
        <v>498</v>
      </c>
      <c r="L5" s="7">
        <f t="shared" si="2"/>
        <v>0.95381526104417669</v>
      </c>
      <c r="M5" s="41"/>
      <c r="N5" s="41"/>
    </row>
    <row r="6" spans="1:14" x14ac:dyDescent="0.25">
      <c r="A6">
        <v>1</v>
      </c>
      <c r="B6">
        <v>0.5</v>
      </c>
      <c r="C6" s="20">
        <v>618</v>
      </c>
      <c r="D6">
        <v>504</v>
      </c>
      <c r="E6">
        <v>513</v>
      </c>
      <c r="F6">
        <v>432</v>
      </c>
      <c r="G6">
        <v>556</v>
      </c>
      <c r="H6" s="7">
        <f t="shared" si="0"/>
        <v>0.84210526315789469</v>
      </c>
      <c r="I6" s="7">
        <f t="shared" si="0"/>
        <v>1.0838206627680311</v>
      </c>
      <c r="J6" s="7">
        <f t="shared" si="1"/>
        <v>0.83009708737864074</v>
      </c>
      <c r="K6" s="20">
        <v>579</v>
      </c>
      <c r="L6" s="7">
        <f t="shared" si="2"/>
        <v>0.88601036269430056</v>
      </c>
      <c r="M6" s="41"/>
      <c r="N6" s="41"/>
    </row>
    <row r="7" spans="1:14" x14ac:dyDescent="0.25">
      <c r="A7">
        <v>1</v>
      </c>
      <c r="B7">
        <v>0.8</v>
      </c>
      <c r="C7" s="20">
        <f>C5</f>
        <v>537</v>
      </c>
      <c r="D7">
        <v>396</v>
      </c>
      <c r="E7">
        <v>420</v>
      </c>
      <c r="F7">
        <v>351</v>
      </c>
      <c r="G7">
        <v>509</v>
      </c>
      <c r="H7" s="7">
        <f t="shared" si="0"/>
        <v>0.83571428571428574</v>
      </c>
      <c r="I7" s="7">
        <f t="shared" si="0"/>
        <v>1.2119047619047618</v>
      </c>
      <c r="J7" s="7">
        <f t="shared" si="1"/>
        <v>0.78212290502793291</v>
      </c>
      <c r="K7" s="20">
        <f>K5</f>
        <v>498</v>
      </c>
      <c r="L7" s="7">
        <f t="shared" si="2"/>
        <v>0.84337349397590367</v>
      </c>
      <c r="M7" s="41"/>
      <c r="N7" s="41"/>
    </row>
    <row r="8" spans="1:14" x14ac:dyDescent="0.25">
      <c r="A8">
        <v>2</v>
      </c>
      <c r="B8">
        <v>0.2</v>
      </c>
      <c r="C8" s="20">
        <v>704</v>
      </c>
      <c r="D8">
        <v>684</v>
      </c>
      <c r="E8">
        <v>680</v>
      </c>
      <c r="F8">
        <v>625</v>
      </c>
      <c r="G8">
        <v>719</v>
      </c>
      <c r="H8" s="7">
        <f t="shared" si="0"/>
        <v>0.91911764705882348</v>
      </c>
      <c r="I8" s="7">
        <f t="shared" si="0"/>
        <v>1.0573529411764706</v>
      </c>
      <c r="J8" s="7">
        <f t="shared" si="1"/>
        <v>0.96590909090909094</v>
      </c>
      <c r="K8" s="20">
        <v>657</v>
      </c>
      <c r="L8" s="7">
        <f t="shared" si="2"/>
        <v>1.035007610350076</v>
      </c>
      <c r="M8" s="41"/>
      <c r="N8" s="41"/>
    </row>
    <row r="9" spans="1:14" x14ac:dyDescent="0.25">
      <c r="A9">
        <v>2</v>
      </c>
      <c r="B9">
        <v>0.5</v>
      </c>
      <c r="C9" s="20">
        <v>785</v>
      </c>
      <c r="D9">
        <v>684</v>
      </c>
      <c r="E9">
        <v>705</v>
      </c>
      <c r="F9">
        <v>584</v>
      </c>
      <c r="G9">
        <v>719</v>
      </c>
      <c r="H9" s="7">
        <f t="shared" si="0"/>
        <v>0.82836879432624111</v>
      </c>
      <c r="I9" s="7">
        <f t="shared" si="0"/>
        <v>1.0198581560283688</v>
      </c>
      <c r="J9" s="7">
        <f t="shared" si="1"/>
        <v>0.89808917197452232</v>
      </c>
      <c r="K9" s="20">
        <v>738</v>
      </c>
      <c r="L9" s="7">
        <f t="shared" si="2"/>
        <v>0.95528455284552849</v>
      </c>
      <c r="M9" s="41"/>
      <c r="N9" s="41"/>
    </row>
    <row r="10" spans="1:14" x14ac:dyDescent="0.25">
      <c r="A10">
        <v>2</v>
      </c>
      <c r="B10">
        <v>0.8</v>
      </c>
      <c r="C10" s="20">
        <f>C8</f>
        <v>704</v>
      </c>
      <c r="D10">
        <v>594</v>
      </c>
      <c r="E10">
        <v>605</v>
      </c>
      <c r="F10">
        <v>495</v>
      </c>
      <c r="G10">
        <v>652</v>
      </c>
      <c r="H10" s="7">
        <f t="shared" si="0"/>
        <v>0.81818181818181823</v>
      </c>
      <c r="I10" s="7">
        <f t="shared" si="0"/>
        <v>1.0776859504132232</v>
      </c>
      <c r="J10" s="7">
        <f t="shared" si="1"/>
        <v>0.859375</v>
      </c>
      <c r="K10" s="20">
        <f>K8</f>
        <v>657</v>
      </c>
      <c r="L10" s="7">
        <f t="shared" si="2"/>
        <v>0.9208523592085236</v>
      </c>
      <c r="M10" s="41"/>
      <c r="N10" s="41"/>
    </row>
    <row r="11" spans="1:14" x14ac:dyDescent="0.25">
      <c r="A11">
        <v>3</v>
      </c>
      <c r="B11">
        <v>0.2</v>
      </c>
      <c r="C11" s="20">
        <v>692</v>
      </c>
      <c r="E11">
        <v>610</v>
      </c>
      <c r="F11">
        <v>536</v>
      </c>
      <c r="G11">
        <v>624</v>
      </c>
      <c r="H11" s="7">
        <f t="shared" si="0"/>
        <v>0.87868852459016389</v>
      </c>
      <c r="I11" s="7">
        <f t="shared" si="0"/>
        <v>1.0229508196721311</v>
      </c>
      <c r="J11" s="7">
        <f t="shared" si="1"/>
        <v>0.88150289017341044</v>
      </c>
      <c r="K11" s="20">
        <v>591</v>
      </c>
      <c r="L11" s="7">
        <f t="shared" si="2"/>
        <v>1.0321489001692048</v>
      </c>
      <c r="M11" s="41"/>
      <c r="N11" s="41"/>
    </row>
    <row r="12" spans="1:14" x14ac:dyDescent="0.25">
      <c r="A12">
        <v>3</v>
      </c>
      <c r="B12">
        <v>0.5</v>
      </c>
      <c r="C12" s="20">
        <v>773</v>
      </c>
      <c r="E12">
        <v>620</v>
      </c>
      <c r="F12">
        <v>508</v>
      </c>
      <c r="G12">
        <v>632</v>
      </c>
      <c r="H12" s="7">
        <f t="shared" si="0"/>
        <v>0.8193548387096774</v>
      </c>
      <c r="I12" s="7">
        <f t="shared" si="0"/>
        <v>1.0193548387096774</v>
      </c>
      <c r="J12" s="7">
        <f t="shared" si="1"/>
        <v>0.80206985769728334</v>
      </c>
      <c r="K12" s="20">
        <v>672</v>
      </c>
      <c r="L12" s="7">
        <f t="shared" si="2"/>
        <v>0.92261904761904767</v>
      </c>
      <c r="M12" s="41"/>
      <c r="N12" s="41"/>
    </row>
    <row r="13" spans="1:14" x14ac:dyDescent="0.25">
      <c r="A13">
        <v>3</v>
      </c>
      <c r="B13">
        <v>0.8</v>
      </c>
      <c r="C13" s="20">
        <f>C11</f>
        <v>692</v>
      </c>
      <c r="E13">
        <v>550</v>
      </c>
      <c r="F13">
        <v>436</v>
      </c>
      <c r="G13">
        <v>582</v>
      </c>
      <c r="H13" s="7">
        <f t="shared" si="0"/>
        <v>0.79272727272727272</v>
      </c>
      <c r="I13" s="7">
        <f t="shared" si="0"/>
        <v>1.0581818181818181</v>
      </c>
      <c r="J13" s="7">
        <f t="shared" si="1"/>
        <v>0.7947976878612717</v>
      </c>
      <c r="K13" s="20">
        <f>K11</f>
        <v>591</v>
      </c>
      <c r="L13" s="7">
        <f t="shared" si="2"/>
        <v>0.93062605752961081</v>
      </c>
      <c r="M13" s="22"/>
      <c r="N13" s="41"/>
    </row>
    <row r="14" spans="1:14" x14ac:dyDescent="0.25">
      <c r="C14" s="20"/>
      <c r="K14" s="6" t="s">
        <v>58</v>
      </c>
      <c r="L14" s="20" t="s">
        <v>90</v>
      </c>
      <c r="M14" s="20"/>
      <c r="N14" s="20"/>
    </row>
    <row r="15" spans="1:14" x14ac:dyDescent="0.25">
      <c r="C15" s="20"/>
      <c r="I15" t="s">
        <v>91</v>
      </c>
      <c r="K15">
        <v>0.2</v>
      </c>
      <c r="L15" s="22">
        <f>AVERAGE(L2,L5,L8,L11)</f>
        <v>0.99579277106955855</v>
      </c>
      <c r="M15" s="20"/>
      <c r="N15" s="20"/>
    </row>
    <row r="16" spans="1:14" x14ac:dyDescent="0.25">
      <c r="C16" s="20"/>
      <c r="I16" t="s">
        <v>92</v>
      </c>
      <c r="J16" s="7">
        <f>(L15-L17)/(B10-B8)</f>
        <v>0.19315704396789957</v>
      </c>
      <c r="K16">
        <v>0.5</v>
      </c>
      <c r="L16" s="22">
        <f>AVERAGE(L3,L6,L9,L12)</f>
        <v>0.92753763057466543</v>
      </c>
      <c r="M16" s="20"/>
      <c r="N16" s="20"/>
    </row>
    <row r="17" spans="1:14" x14ac:dyDescent="0.25">
      <c r="C17" s="20"/>
      <c r="I17" t="s">
        <v>93</v>
      </c>
      <c r="J17" s="7">
        <f>L17+B10*J16</f>
        <v>1.0344241798631384</v>
      </c>
      <c r="K17">
        <v>0.8</v>
      </c>
      <c r="L17" s="22">
        <f>AVERAGE(L4,L7,L10,L13)</f>
        <v>0.87989854468881878</v>
      </c>
      <c r="M17" s="20"/>
      <c r="N17" s="20"/>
    </row>
    <row r="18" spans="1:14" x14ac:dyDescent="0.25">
      <c r="A18" t="s">
        <v>94</v>
      </c>
      <c r="C18" s="20"/>
      <c r="K18" s="20"/>
      <c r="L18" s="20"/>
      <c r="M18" s="20"/>
      <c r="N18" s="20"/>
    </row>
    <row r="19" spans="1:14" x14ac:dyDescent="0.25">
      <c r="A19" t="s">
        <v>49</v>
      </c>
      <c r="B19" t="s">
        <v>95</v>
      </c>
      <c r="C19" s="20" t="s">
        <v>83</v>
      </c>
      <c r="D19" t="s">
        <v>96</v>
      </c>
      <c r="K19" s="20"/>
      <c r="L19" s="20"/>
      <c r="M19" s="20"/>
      <c r="N19" s="20"/>
    </row>
    <row r="20" spans="1:14" x14ac:dyDescent="0.25">
      <c r="A20">
        <v>0.67</v>
      </c>
      <c r="B20">
        <v>681</v>
      </c>
      <c r="C20" s="20">
        <v>650</v>
      </c>
      <c r="D20" s="7">
        <f>C20/B20</f>
        <v>0.95447870778267252</v>
      </c>
      <c r="K20" s="20"/>
      <c r="L20" s="20"/>
      <c r="M20" s="20"/>
      <c r="N20" s="20"/>
    </row>
    <row r="21" spans="1:14" x14ac:dyDescent="0.25">
      <c r="A21">
        <v>1</v>
      </c>
      <c r="B21">
        <v>598</v>
      </c>
      <c r="C21" s="20">
        <v>609</v>
      </c>
      <c r="D21" s="7">
        <f>C21/B21</f>
        <v>1.0183946488294315</v>
      </c>
      <c r="K21" s="20"/>
      <c r="L21" s="20"/>
      <c r="M21" s="20"/>
      <c r="N21" s="20"/>
    </row>
    <row r="22" spans="1:14" x14ac:dyDescent="0.25">
      <c r="A22">
        <v>1.5</v>
      </c>
      <c r="B22">
        <v>554</v>
      </c>
      <c r="C22" s="20">
        <v>570</v>
      </c>
      <c r="D22" s="7">
        <f>C22/B22</f>
        <v>1.0288808664259927</v>
      </c>
      <c r="K22" s="20"/>
      <c r="L22" s="20"/>
      <c r="M22" s="20"/>
      <c r="N22" s="20"/>
    </row>
    <row r="23" spans="1:14" x14ac:dyDescent="0.25">
      <c r="A23">
        <v>2.33</v>
      </c>
      <c r="B23">
        <v>474</v>
      </c>
      <c r="C23" s="20">
        <v>528</v>
      </c>
      <c r="D23" s="7">
        <f>C23/B23</f>
        <v>1.1139240506329113</v>
      </c>
      <c r="K23" s="20"/>
      <c r="L23" s="20"/>
      <c r="M23" s="20"/>
      <c r="N23" s="20"/>
    </row>
    <row r="24" spans="1:14" x14ac:dyDescent="0.25">
      <c r="C24" s="20"/>
      <c r="K24" s="20"/>
      <c r="L24" s="20"/>
      <c r="M24" s="20"/>
      <c r="N24" s="20"/>
    </row>
    <row r="25" spans="1:14" x14ac:dyDescent="0.25">
      <c r="A25" t="s">
        <v>92</v>
      </c>
      <c r="B25" s="7">
        <f>(D23-D20)/(A23-A20)</f>
        <v>9.6051411355565539E-2</v>
      </c>
      <c r="C25" s="20"/>
      <c r="K25" s="20"/>
      <c r="L25" s="20"/>
      <c r="M25" s="20"/>
      <c r="N25" s="20"/>
    </row>
    <row r="26" spans="1:14" x14ac:dyDescent="0.25">
      <c r="A26" t="s">
        <v>93</v>
      </c>
      <c r="B26" s="7">
        <f>D23-A23*B25</f>
        <v>0.89012426217444363</v>
      </c>
      <c r="C26" s="20"/>
      <c r="K26" s="20"/>
      <c r="L26" s="20"/>
      <c r="M26" s="20"/>
      <c r="N26" s="20"/>
    </row>
    <row r="27" spans="1:14" x14ac:dyDescent="0.25">
      <c r="C27" s="20"/>
      <c r="K27" s="20"/>
      <c r="L27" s="20"/>
      <c r="M27" s="20"/>
      <c r="N27" s="20"/>
    </row>
    <row r="28" spans="1:14" x14ac:dyDescent="0.25">
      <c r="C28" s="20"/>
      <c r="K28" s="20"/>
      <c r="L28" s="20"/>
      <c r="M28" s="20"/>
      <c r="N28" s="20"/>
    </row>
    <row r="29" spans="1:14" x14ac:dyDescent="0.25">
      <c r="B29" s="7"/>
      <c r="C29" s="20"/>
      <c r="K29" s="20"/>
      <c r="L29" s="20"/>
      <c r="M29" s="20"/>
      <c r="N29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10" sqref="D10"/>
    </sheetView>
  </sheetViews>
  <sheetFormatPr baseColWidth="10" defaultRowHeight="15" x14ac:dyDescent="0.25"/>
  <sheetData>
    <row r="1" spans="1:12" x14ac:dyDescent="0.25">
      <c r="A1" t="s">
        <v>59</v>
      </c>
      <c r="C1" t="s">
        <v>12</v>
      </c>
      <c r="E1" t="s">
        <v>157</v>
      </c>
      <c r="F1" t="s">
        <v>156</v>
      </c>
      <c r="G1" t="s">
        <v>18</v>
      </c>
    </row>
    <row r="2" spans="1:12" x14ac:dyDescent="0.25">
      <c r="A2">
        <v>6</v>
      </c>
      <c r="C2" t="s">
        <v>60</v>
      </c>
      <c r="F2" t="s">
        <v>154</v>
      </c>
      <c r="G2" s="51">
        <v>200.1</v>
      </c>
      <c r="H2" s="10">
        <v>300.10000000000002</v>
      </c>
      <c r="I2" s="10">
        <v>400.1</v>
      </c>
      <c r="J2" s="10">
        <v>600.1</v>
      </c>
      <c r="K2" s="10">
        <v>800.1</v>
      </c>
      <c r="L2" s="51">
        <v>1000.1</v>
      </c>
    </row>
    <row r="3" spans="1:12" x14ac:dyDescent="0.25">
      <c r="A3">
        <v>8</v>
      </c>
      <c r="C3" t="s">
        <v>61</v>
      </c>
      <c r="F3" s="44">
        <v>5.1000000000000004E-3</v>
      </c>
      <c r="G3" s="7">
        <v>0.57999999999999996</v>
      </c>
      <c r="H3" s="7">
        <v>0.52</v>
      </c>
      <c r="I3" s="7">
        <v>0.47</v>
      </c>
      <c r="J3" s="7">
        <v>0.42</v>
      </c>
      <c r="K3" s="7">
        <v>0.38</v>
      </c>
      <c r="L3" s="7">
        <v>0.37</v>
      </c>
    </row>
    <row r="4" spans="1:12" x14ac:dyDescent="0.25">
      <c r="A4">
        <v>10</v>
      </c>
      <c r="C4" t="s">
        <v>13</v>
      </c>
      <c r="F4" s="44">
        <v>1.01E-2</v>
      </c>
      <c r="G4" s="7">
        <v>0.57999999999999996</v>
      </c>
      <c r="H4" s="7">
        <v>0.54</v>
      </c>
      <c r="I4" s="7">
        <v>0.51</v>
      </c>
      <c r="J4" s="7">
        <v>0.47</v>
      </c>
      <c r="K4" s="7">
        <v>0.44</v>
      </c>
      <c r="L4" s="7">
        <v>0.42</v>
      </c>
    </row>
    <row r="5" spans="1:12" x14ac:dyDescent="0.25">
      <c r="A5">
        <v>12</v>
      </c>
      <c r="F5" s="44">
        <v>1.5100000000000001E-2</v>
      </c>
      <c r="G5" s="7">
        <v>0.67</v>
      </c>
      <c r="H5" s="7">
        <v>0.62</v>
      </c>
      <c r="I5" s="7">
        <v>0.57999999999999996</v>
      </c>
      <c r="J5" s="7">
        <v>0.53</v>
      </c>
      <c r="K5" s="7">
        <v>0.5</v>
      </c>
      <c r="L5" s="7">
        <v>0.48</v>
      </c>
    </row>
    <row r="6" spans="1:12" x14ac:dyDescent="0.25">
      <c r="A6">
        <v>14</v>
      </c>
      <c r="F6" s="44">
        <v>2.01E-2</v>
      </c>
      <c r="G6" s="7">
        <v>0.73</v>
      </c>
      <c r="H6" s="7">
        <v>0.68</v>
      </c>
      <c r="I6" s="7">
        <v>0.64</v>
      </c>
      <c r="J6" s="7">
        <v>0.59</v>
      </c>
      <c r="K6" s="7">
        <v>0.56000000000000005</v>
      </c>
      <c r="L6" s="7">
        <v>0.53</v>
      </c>
    </row>
    <row r="7" spans="1:12" x14ac:dyDescent="0.25">
      <c r="A7">
        <v>16</v>
      </c>
    </row>
    <row r="8" spans="1:12" x14ac:dyDescent="0.25">
      <c r="A8">
        <v>20</v>
      </c>
    </row>
    <row r="9" spans="1:12" x14ac:dyDescent="0.25">
      <c r="A9">
        <v>25</v>
      </c>
    </row>
    <row r="10" spans="1:12" x14ac:dyDescent="0.25">
      <c r="A10">
        <v>32</v>
      </c>
    </row>
    <row r="12" spans="1:12" x14ac:dyDescent="0.25">
      <c r="A12" t="s">
        <v>62</v>
      </c>
    </row>
    <row r="13" spans="1:12" x14ac:dyDescent="0.25">
      <c r="A13">
        <v>1</v>
      </c>
    </row>
    <row r="14" spans="1:12" x14ac:dyDescent="0.25">
      <c r="A14">
        <v>0.85</v>
      </c>
    </row>
    <row r="17" spans="1:7" x14ac:dyDescent="0.25">
      <c r="E17" t="s">
        <v>63</v>
      </c>
    </row>
    <row r="18" spans="1:7" x14ac:dyDescent="0.25">
      <c r="A18" t="s">
        <v>142</v>
      </c>
      <c r="E18" t="s">
        <v>64</v>
      </c>
      <c r="F18" t="s">
        <v>65</v>
      </c>
      <c r="G18" t="s">
        <v>66</v>
      </c>
    </row>
    <row r="19" spans="1:7" x14ac:dyDescent="0.25">
      <c r="A19" t="s">
        <v>143</v>
      </c>
      <c r="E19">
        <v>1</v>
      </c>
      <c r="F19" s="30">
        <f t="shared" ref="F19:F33" si="0">SUM(E5:E19)</f>
        <v>1</v>
      </c>
    </row>
    <row r="20" spans="1:7" x14ac:dyDescent="0.25">
      <c r="E20">
        <v>2</v>
      </c>
      <c r="F20">
        <f t="shared" si="0"/>
        <v>3</v>
      </c>
      <c r="G20" s="30">
        <f t="shared" ref="G20:G30" si="1">F20-E20/2</f>
        <v>2</v>
      </c>
    </row>
    <row r="21" spans="1:7" x14ac:dyDescent="0.25">
      <c r="E21">
        <v>3</v>
      </c>
      <c r="F21" s="30">
        <f t="shared" si="0"/>
        <v>6</v>
      </c>
    </row>
    <row r="22" spans="1:7" x14ac:dyDescent="0.25">
      <c r="E22">
        <v>4</v>
      </c>
      <c r="F22">
        <f t="shared" si="0"/>
        <v>10</v>
      </c>
      <c r="G22" s="30">
        <f t="shared" si="1"/>
        <v>8</v>
      </c>
    </row>
    <row r="23" spans="1:7" x14ac:dyDescent="0.25">
      <c r="E23">
        <v>5</v>
      </c>
      <c r="F23" s="30">
        <f t="shared" si="0"/>
        <v>15</v>
      </c>
    </row>
    <row r="24" spans="1:7" x14ac:dyDescent="0.25">
      <c r="E24">
        <v>6</v>
      </c>
      <c r="F24">
        <f t="shared" si="0"/>
        <v>21</v>
      </c>
      <c r="G24" s="30">
        <f t="shared" si="1"/>
        <v>18</v>
      </c>
    </row>
    <row r="25" spans="1:7" x14ac:dyDescent="0.25">
      <c r="E25">
        <v>7</v>
      </c>
      <c r="F25" s="30">
        <f t="shared" si="0"/>
        <v>28</v>
      </c>
    </row>
    <row r="26" spans="1:7" x14ac:dyDescent="0.25">
      <c r="E26">
        <v>8</v>
      </c>
      <c r="F26">
        <f t="shared" si="0"/>
        <v>36</v>
      </c>
      <c r="G26" s="30">
        <f t="shared" si="1"/>
        <v>32</v>
      </c>
    </row>
    <row r="27" spans="1:7" x14ac:dyDescent="0.25">
      <c r="E27">
        <v>9</v>
      </c>
      <c r="F27" s="30">
        <f t="shared" si="0"/>
        <v>45</v>
      </c>
      <c r="G27" s="31"/>
    </row>
    <row r="28" spans="1:7" x14ac:dyDescent="0.25">
      <c r="E28">
        <v>10</v>
      </c>
      <c r="F28">
        <f t="shared" si="0"/>
        <v>55</v>
      </c>
      <c r="G28" s="30">
        <f t="shared" si="1"/>
        <v>50</v>
      </c>
    </row>
    <row r="29" spans="1:7" x14ac:dyDescent="0.25">
      <c r="E29">
        <v>11</v>
      </c>
      <c r="F29" s="30">
        <f t="shared" si="0"/>
        <v>66</v>
      </c>
    </row>
    <row r="30" spans="1:7" x14ac:dyDescent="0.25">
      <c r="E30">
        <v>12</v>
      </c>
      <c r="F30">
        <f t="shared" si="0"/>
        <v>78</v>
      </c>
      <c r="G30" s="30">
        <f t="shared" si="1"/>
        <v>72</v>
      </c>
    </row>
    <row r="31" spans="1:7" x14ac:dyDescent="0.25">
      <c r="E31">
        <v>13</v>
      </c>
      <c r="F31" s="30">
        <f t="shared" si="0"/>
        <v>91</v>
      </c>
    </row>
    <row r="32" spans="1:7" x14ac:dyDescent="0.25">
      <c r="E32">
        <v>14</v>
      </c>
      <c r="F32">
        <f>SUM(E18:E32)</f>
        <v>105</v>
      </c>
      <c r="G32" s="30">
        <f>F32-E32/2</f>
        <v>98</v>
      </c>
    </row>
    <row r="33" spans="5:6" x14ac:dyDescent="0.25">
      <c r="E33">
        <v>15</v>
      </c>
      <c r="F33" s="30">
        <f t="shared" si="0"/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K13" sqref="K13"/>
    </sheetView>
  </sheetViews>
  <sheetFormatPr baseColWidth="10" defaultRowHeight="15" x14ac:dyDescent="0.25"/>
  <cols>
    <col min="2" max="2" width="12.5703125" style="7" bestFit="1" customWidth="1"/>
  </cols>
  <sheetData>
    <row r="1" spans="1:10" x14ac:dyDescent="0.25">
      <c r="A1" s="13" t="s">
        <v>126</v>
      </c>
      <c r="B1" s="47">
        <v>20</v>
      </c>
      <c r="C1" t="s">
        <v>132</v>
      </c>
      <c r="D1">
        <v>2</v>
      </c>
      <c r="E1" s="13" t="s">
        <v>126</v>
      </c>
      <c r="F1" s="47">
        <f>B1*D1</f>
        <v>40</v>
      </c>
      <c r="I1" s="13" t="s">
        <v>126</v>
      </c>
      <c r="J1" s="47">
        <f>B1</f>
        <v>20</v>
      </c>
    </row>
    <row r="2" spans="1:10" x14ac:dyDescent="0.25">
      <c r="A2" s="15" t="s">
        <v>127</v>
      </c>
      <c r="B2" s="48">
        <v>500</v>
      </c>
      <c r="E2" s="15" t="s">
        <v>127</v>
      </c>
      <c r="F2" s="48">
        <f>B2</f>
        <v>500</v>
      </c>
      <c r="G2" t="s">
        <v>133</v>
      </c>
      <c r="H2">
        <f>D1</f>
        <v>2</v>
      </c>
      <c r="I2" s="15" t="s">
        <v>127</v>
      </c>
      <c r="J2" s="48">
        <f>B2*H2</f>
        <v>1000</v>
      </c>
    </row>
    <row r="3" spans="1:10" x14ac:dyDescent="0.25">
      <c r="A3" s="15" t="s">
        <v>20</v>
      </c>
      <c r="B3" s="48">
        <v>400</v>
      </c>
      <c r="E3" s="15" t="s">
        <v>20</v>
      </c>
      <c r="F3" s="48">
        <f>B3</f>
        <v>400</v>
      </c>
      <c r="I3" s="15" t="s">
        <v>20</v>
      </c>
      <c r="J3" s="48">
        <f>B3</f>
        <v>400</v>
      </c>
    </row>
    <row r="4" spans="1:10" x14ac:dyDescent="0.25">
      <c r="A4" s="15" t="s">
        <v>17</v>
      </c>
      <c r="B4" s="48">
        <v>300</v>
      </c>
      <c r="E4" s="15" t="s">
        <v>17</v>
      </c>
      <c r="F4" s="48">
        <f>B4</f>
        <v>300</v>
      </c>
      <c r="I4" s="15" t="s">
        <v>17</v>
      </c>
      <c r="J4" s="48">
        <f>B4</f>
        <v>300</v>
      </c>
    </row>
    <row r="5" spans="1:10" x14ac:dyDescent="0.25">
      <c r="A5" s="49" t="s">
        <v>130</v>
      </c>
      <c r="B5" s="50">
        <v>0.01</v>
      </c>
      <c r="E5" s="49" t="s">
        <v>130</v>
      </c>
      <c r="F5" s="50">
        <f>B5</f>
        <v>0.01</v>
      </c>
      <c r="I5" s="49" t="s">
        <v>130</v>
      </c>
      <c r="J5" s="50">
        <f>B5</f>
        <v>0.01</v>
      </c>
    </row>
    <row r="6" spans="1:10" x14ac:dyDescent="0.25">
      <c r="A6" t="s">
        <v>131</v>
      </c>
      <c r="B6" s="7">
        <f>B3*B4*B5</f>
        <v>1200</v>
      </c>
      <c r="E6" t="s">
        <v>131</v>
      </c>
      <c r="F6" s="7">
        <f>F3*F4*F5</f>
        <v>1200</v>
      </c>
      <c r="I6" t="s">
        <v>131</v>
      </c>
      <c r="J6" s="7">
        <f>J3*J4*J5</f>
        <v>1200</v>
      </c>
    </row>
    <row r="7" spans="1:10" x14ac:dyDescent="0.25">
      <c r="A7" t="s">
        <v>128</v>
      </c>
      <c r="B7" s="7">
        <f>B6*B2/1000</f>
        <v>600</v>
      </c>
      <c r="E7" t="s">
        <v>128</v>
      </c>
      <c r="F7" s="7">
        <f>F6*F2/1000</f>
        <v>600</v>
      </c>
      <c r="I7" t="s">
        <v>128</v>
      </c>
      <c r="J7" s="7">
        <f>J6*J2/1000</f>
        <v>1200</v>
      </c>
    </row>
    <row r="8" spans="1:10" x14ac:dyDescent="0.25">
      <c r="A8" t="s">
        <v>32</v>
      </c>
      <c r="B8" s="7">
        <f>B7*1000/(B1*B4)</f>
        <v>100</v>
      </c>
      <c r="E8" t="s">
        <v>32</v>
      </c>
      <c r="F8" s="7">
        <f>F7*1000/(F1*F4)</f>
        <v>50</v>
      </c>
      <c r="I8" t="s">
        <v>32</v>
      </c>
      <c r="J8" s="7">
        <f>J7*1000/(J1*J4)</f>
        <v>200</v>
      </c>
    </row>
    <row r="9" spans="1:10" x14ac:dyDescent="0.25">
      <c r="A9" t="s">
        <v>129</v>
      </c>
      <c r="B9" s="7">
        <f>B3-B8/2</f>
        <v>350</v>
      </c>
      <c r="E9" t="s">
        <v>129</v>
      </c>
      <c r="F9" s="7">
        <f>F3-F8/2</f>
        <v>375</v>
      </c>
      <c r="I9" t="s">
        <v>129</v>
      </c>
      <c r="J9" s="7">
        <f>J3-J8/2</f>
        <v>300</v>
      </c>
    </row>
    <row r="10" spans="1:10" x14ac:dyDescent="0.25">
      <c r="A10" s="1" t="s">
        <v>39</v>
      </c>
      <c r="B10" s="46">
        <f>B7*B9/1000</f>
        <v>210</v>
      </c>
      <c r="E10" s="1" t="s">
        <v>135</v>
      </c>
      <c r="F10" s="46">
        <f>F7*F9/1000</f>
        <v>225</v>
      </c>
      <c r="I10" s="1" t="s">
        <v>136</v>
      </c>
      <c r="J10" s="46">
        <f>J7*J9/1000</f>
        <v>360</v>
      </c>
    </row>
    <row r="11" spans="1:10" x14ac:dyDescent="0.25">
      <c r="E11" t="s">
        <v>134</v>
      </c>
      <c r="F11" s="7">
        <f>F10/B10</f>
        <v>1.0714285714285714</v>
      </c>
      <c r="I11" t="s">
        <v>134</v>
      </c>
      <c r="J11" s="7">
        <f>J10/B10</f>
        <v>1.7142857142857142</v>
      </c>
    </row>
    <row r="13" spans="1:10" x14ac:dyDescent="0.25">
      <c r="F13" t="s">
        <v>137</v>
      </c>
      <c r="G13">
        <f>(J11-1)/(F11-1)</f>
        <v>10.000000000000004</v>
      </c>
    </row>
    <row r="14" spans="1:10" x14ac:dyDescent="0.25">
      <c r="F14" t="s">
        <v>138</v>
      </c>
      <c r="G14">
        <f>2*D1*B1/(B5*B2)-D1-D1^2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vigas</vt:lpstr>
      <vt:lpstr>pilares</vt:lpstr>
      <vt:lpstr>J.Montoya</vt:lpstr>
      <vt:lpstr>comparación</vt:lpstr>
      <vt:lpstr>(auxiliar)</vt:lpstr>
      <vt:lpstr>relevancia fc, fy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2015-10-17T02:35:42Z</dcterms:modified>
</cp:coreProperties>
</file>