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Mi unidad\Tesistas 2022\TFG Natalia Cárdenas Garrido\Modelos\Python\Programación matricial pórtico\PRUEBAS EXCEL NATALIA\"/>
    </mc:Choice>
  </mc:AlternateContent>
  <xr:revisionPtr revIDLastSave="0" documentId="13_ncr:1_{D599BAE2-2477-434D-9FE5-80439BBE9340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Member end forces" sheetId="1" r:id="rId1"/>
    <sheet name="Internal forces" sheetId="2" r:id="rId2"/>
    <sheet name="aux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nChbO8ehH5Xh6A4hr0KFIxT4BeQ=="/>
    </ext>
  </extLst>
</workbook>
</file>

<file path=xl/calcChain.xml><?xml version="1.0" encoding="utf-8"?>
<calcChain xmlns="http://schemas.openxmlformats.org/spreadsheetml/2006/main">
  <c r="AN13" i="1" l="1"/>
  <c r="L16" i="1"/>
  <c r="L17" i="1"/>
  <c r="L13" i="1"/>
  <c r="M28" i="1"/>
  <c r="L28" i="1"/>
  <c r="AU24" i="2"/>
  <c r="AR24" i="2"/>
  <c r="AP24" i="2"/>
  <c r="AK24" i="2"/>
  <c r="AH24" i="2"/>
  <c r="AA24" i="2"/>
  <c r="X24" i="2"/>
  <c r="V24" i="2"/>
  <c r="Q24" i="2"/>
  <c r="N24" i="2"/>
  <c r="G24" i="2"/>
  <c r="D24" i="2"/>
  <c r="AU23" i="2"/>
  <c r="AR23" i="2"/>
  <c r="AP23" i="2"/>
  <c r="AK23" i="2"/>
  <c r="AH23" i="2"/>
  <c r="AA23" i="2"/>
  <c r="X23" i="2"/>
  <c r="V23" i="2"/>
  <c r="Q23" i="2"/>
  <c r="N23" i="2"/>
  <c r="G23" i="2"/>
  <c r="D23" i="2"/>
  <c r="AU22" i="2"/>
  <c r="AR22" i="2"/>
  <c r="AP22" i="2"/>
  <c r="AK22" i="2"/>
  <c r="AH22" i="2"/>
  <c r="AA22" i="2"/>
  <c r="X22" i="2"/>
  <c r="V22" i="2"/>
  <c r="Q22" i="2"/>
  <c r="N22" i="2"/>
  <c r="G22" i="2"/>
  <c r="D22" i="2"/>
  <c r="AU21" i="2"/>
  <c r="AR21" i="2"/>
  <c r="AP21" i="2"/>
  <c r="AK21" i="2"/>
  <c r="AH21" i="2"/>
  <c r="AA21" i="2"/>
  <c r="X21" i="2"/>
  <c r="V21" i="2"/>
  <c r="Q21" i="2"/>
  <c r="N21" i="2"/>
  <c r="G21" i="2"/>
  <c r="D21" i="2"/>
  <c r="AU20" i="2"/>
  <c r="AR20" i="2"/>
  <c r="AP20" i="2"/>
  <c r="AK20" i="2"/>
  <c r="AH20" i="2"/>
  <c r="AA20" i="2"/>
  <c r="X20" i="2"/>
  <c r="V20" i="2"/>
  <c r="Q20" i="2"/>
  <c r="N20" i="2"/>
  <c r="G20" i="2"/>
  <c r="D20" i="2"/>
  <c r="AU19" i="2"/>
  <c r="AR19" i="2"/>
  <c r="AP19" i="2"/>
  <c r="AK19" i="2"/>
  <c r="AH19" i="2"/>
  <c r="AA19" i="2"/>
  <c r="X19" i="2"/>
  <c r="V19" i="2"/>
  <c r="Q19" i="2"/>
  <c r="N19" i="2"/>
  <c r="G19" i="2"/>
  <c r="D19" i="2"/>
  <c r="AU18" i="2"/>
  <c r="AR18" i="2"/>
  <c r="AP18" i="2"/>
  <c r="AK18" i="2"/>
  <c r="AH18" i="2"/>
  <c r="AA18" i="2"/>
  <c r="X18" i="2"/>
  <c r="V18" i="2"/>
  <c r="Q18" i="2"/>
  <c r="N18" i="2"/>
  <c r="G18" i="2"/>
  <c r="D18" i="2"/>
  <c r="AU17" i="2"/>
  <c r="AR17" i="2"/>
  <c r="AP17" i="2"/>
  <c r="AK17" i="2"/>
  <c r="AH17" i="2"/>
  <c r="AA17" i="2"/>
  <c r="X17" i="2"/>
  <c r="V17" i="2"/>
  <c r="Q17" i="2"/>
  <c r="N17" i="2"/>
  <c r="G17" i="2"/>
  <c r="D17" i="2"/>
  <c r="AU16" i="2"/>
  <c r="AR16" i="2"/>
  <c r="AP16" i="2"/>
  <c r="AK16" i="2"/>
  <c r="AH16" i="2"/>
  <c r="AA16" i="2"/>
  <c r="X16" i="2"/>
  <c r="V16" i="2"/>
  <c r="Q16" i="2"/>
  <c r="N16" i="2"/>
  <c r="G16" i="2"/>
  <c r="D16" i="2"/>
  <c r="AU15" i="2"/>
  <c r="AR15" i="2"/>
  <c r="AP15" i="2"/>
  <c r="AK15" i="2"/>
  <c r="AH15" i="2"/>
  <c r="AA15" i="2"/>
  <c r="X15" i="2"/>
  <c r="V15" i="2"/>
  <c r="Q15" i="2"/>
  <c r="N15" i="2"/>
  <c r="G15" i="2"/>
  <c r="D15" i="2"/>
  <c r="AU14" i="2"/>
  <c r="AR14" i="2"/>
  <c r="AP14" i="2"/>
  <c r="AK14" i="2"/>
  <c r="AH14" i="2"/>
  <c r="AA14" i="2"/>
  <c r="X14" i="2"/>
  <c r="V14" i="2"/>
  <c r="Q14" i="2"/>
  <c r="N14" i="2"/>
  <c r="G14" i="2"/>
  <c r="D14" i="2"/>
  <c r="AU13" i="2"/>
  <c r="AR13" i="2"/>
  <c r="AP13" i="2"/>
  <c r="AK13" i="2"/>
  <c r="AH13" i="2"/>
  <c r="AA13" i="2"/>
  <c r="X13" i="2"/>
  <c r="V13" i="2"/>
  <c r="Q13" i="2"/>
  <c r="N13" i="2"/>
  <c r="G13" i="2"/>
  <c r="D13" i="2"/>
  <c r="AU12" i="2"/>
  <c r="AR12" i="2"/>
  <c r="AP12" i="2"/>
  <c r="AK12" i="2"/>
  <c r="AH12" i="2"/>
  <c r="AA12" i="2"/>
  <c r="X12" i="2"/>
  <c r="V12" i="2"/>
  <c r="Q12" i="2"/>
  <c r="N12" i="2"/>
  <c r="G12" i="2"/>
  <c r="D12" i="2"/>
  <c r="AU11" i="2"/>
  <c r="AR11" i="2"/>
  <c r="AP11" i="2"/>
  <c r="AK11" i="2"/>
  <c r="AH11" i="2"/>
  <c r="AA11" i="2"/>
  <c r="X11" i="2"/>
  <c r="V11" i="2"/>
  <c r="Q11" i="2"/>
  <c r="N11" i="2"/>
  <c r="G11" i="2"/>
  <c r="D11" i="2"/>
  <c r="AU10" i="2"/>
  <c r="AR10" i="2"/>
  <c r="AP10" i="2"/>
  <c r="AK10" i="2"/>
  <c r="AH10" i="2"/>
  <c r="AA10" i="2"/>
  <c r="X10" i="2"/>
  <c r="V10" i="2"/>
  <c r="Q10" i="2"/>
  <c r="N10" i="2"/>
  <c r="G10" i="2"/>
  <c r="D10" i="2"/>
  <c r="AU9" i="2"/>
  <c r="AR9" i="2"/>
  <c r="AP9" i="2"/>
  <c r="AK9" i="2"/>
  <c r="AH9" i="2"/>
  <c r="AA9" i="2"/>
  <c r="X9" i="2"/>
  <c r="V9" i="2"/>
  <c r="Q9" i="2"/>
  <c r="N9" i="2"/>
  <c r="G9" i="2"/>
  <c r="D9" i="2"/>
  <c r="AU8" i="2"/>
  <c r="AR8" i="2"/>
  <c r="AP8" i="2"/>
  <c r="AK8" i="2"/>
  <c r="AH8" i="2"/>
  <c r="AA8" i="2"/>
  <c r="X8" i="2"/>
  <c r="V8" i="2"/>
  <c r="Q8" i="2"/>
  <c r="N8" i="2"/>
  <c r="G8" i="2"/>
  <c r="D8" i="2"/>
  <c r="AU7" i="2"/>
  <c r="AR7" i="2"/>
  <c r="AP7" i="2"/>
  <c r="AK7" i="2"/>
  <c r="AH7" i="2"/>
  <c r="AA7" i="2"/>
  <c r="X7" i="2"/>
  <c r="V7" i="2"/>
  <c r="Q7" i="2"/>
  <c r="N7" i="2"/>
  <c r="G7" i="2"/>
  <c r="D7" i="2"/>
  <c r="AU6" i="2"/>
  <c r="AR6" i="2"/>
  <c r="AP6" i="2"/>
  <c r="AK6" i="2"/>
  <c r="AH6" i="2"/>
  <c r="AA6" i="2"/>
  <c r="X6" i="2"/>
  <c r="V6" i="2"/>
  <c r="Q6" i="2"/>
  <c r="N6" i="2"/>
  <c r="G6" i="2"/>
  <c r="D6" i="2"/>
  <c r="AU5" i="2"/>
  <c r="AR5" i="2"/>
  <c r="AP5" i="2"/>
  <c r="AK5" i="2"/>
  <c r="AH5" i="2"/>
  <c r="AA5" i="2"/>
  <c r="X5" i="2"/>
  <c r="V5" i="2"/>
  <c r="Q5" i="2"/>
  <c r="N5" i="2"/>
  <c r="G5" i="2"/>
  <c r="D5" i="2"/>
  <c r="AU4" i="2"/>
  <c r="AR4" i="2"/>
  <c r="AP4" i="2"/>
  <c r="AK4" i="2"/>
  <c r="AH4" i="2"/>
  <c r="AA4" i="2"/>
  <c r="X4" i="2"/>
  <c r="V4" i="2"/>
  <c r="Q4" i="2"/>
  <c r="N4" i="2"/>
  <c r="G4" i="2"/>
  <c r="D4" i="2"/>
  <c r="AW2" i="2"/>
  <c r="AM2" i="2"/>
  <c r="AC2" i="2"/>
  <c r="S2" i="2"/>
  <c r="I2" i="2"/>
  <c r="N29" i="1"/>
  <c r="N28" i="1"/>
  <c r="AG28" i="1" s="1"/>
  <c r="AL16" i="1" s="1"/>
  <c r="M27" i="1"/>
  <c r="L27" i="1"/>
  <c r="M23" i="1"/>
  <c r="L23" i="1"/>
  <c r="M22" i="1"/>
  <c r="L22" i="1"/>
  <c r="U21" i="1"/>
  <c r="T21" i="1"/>
  <c r="S21" i="1"/>
  <c r="M16" i="1"/>
  <c r="M17" i="1" s="1"/>
  <c r="C16" i="1"/>
  <c r="G16" i="1" s="1"/>
  <c r="M15" i="1"/>
  <c r="L15" i="1"/>
  <c r="G15" i="1"/>
  <c r="S6" i="1" s="1"/>
  <c r="T5" i="1" s="1"/>
  <c r="C15" i="1"/>
  <c r="M14" i="1"/>
  <c r="L14" i="1"/>
  <c r="C14" i="1"/>
  <c r="G14" i="1" s="1"/>
  <c r="C13" i="1"/>
  <c r="G13" i="1" s="1"/>
  <c r="M12" i="1"/>
  <c r="M13" i="1" s="1"/>
  <c r="L12" i="1"/>
  <c r="G12" i="1"/>
  <c r="C12" i="1"/>
  <c r="T6" i="1"/>
  <c r="S5" i="1"/>
  <c r="R4" i="1"/>
  <c r="Q4" i="1"/>
  <c r="R3" i="1" s="1"/>
  <c r="U22" i="1" s="1"/>
  <c r="X3" i="1" a="1"/>
  <c r="AB5" i="1" s="1"/>
  <c r="Q3" i="1"/>
  <c r="S22" i="1" s="1"/>
  <c r="AL2" i="1" a="1"/>
  <c r="AL2" i="1" s="1"/>
  <c r="AI2" i="1"/>
  <c r="AH2" i="1"/>
  <c r="AG2" i="1"/>
  <c r="AK3" i="1" s="1" a="1"/>
  <c r="Y2" i="1" a="1"/>
  <c r="Z2" i="1" s="1"/>
  <c r="N27" i="1" l="1"/>
  <c r="AG27" i="1" s="1"/>
  <c r="AM14" i="1" s="1"/>
  <c r="AO14" i="1" s="1"/>
  <c r="AN14" i="1" s="1"/>
  <c r="N14" i="1"/>
  <c r="N15" i="1"/>
  <c r="N23" i="1"/>
  <c r="N12" i="1"/>
  <c r="N22" i="1"/>
  <c r="N17" i="1"/>
  <c r="V8" i="1"/>
  <c r="U8" i="1"/>
  <c r="V7" i="1" s="1"/>
  <c r="U23" i="1" s="1"/>
  <c r="U7" i="1"/>
  <c r="T23" i="1" s="1"/>
  <c r="AK5" i="1"/>
  <c r="AK4" i="1"/>
  <c r="AK3" i="1"/>
  <c r="N13" i="1"/>
  <c r="AO16" i="1"/>
  <c r="AN16" i="1" s="1"/>
  <c r="AT24" i="2" s="1"/>
  <c r="AV24" i="2" s="1"/>
  <c r="AW24" i="2" s="1"/>
  <c r="AC2" i="1"/>
  <c r="AN2" i="1"/>
  <c r="AB3" i="1"/>
  <c r="AC4" i="1"/>
  <c r="AD5" i="1"/>
  <c r="N16" i="1"/>
  <c r="AA2" i="1"/>
  <c r="AM2" i="1"/>
  <c r="AB4" i="1"/>
  <c r="AC3" i="1"/>
  <c r="AD4" i="1"/>
  <c r="AB2" i="1"/>
  <c r="AA3" i="1"/>
  <c r="AC5" i="1"/>
  <c r="AD2" i="1"/>
  <c r="AD3" i="1"/>
  <c r="X5" i="1"/>
  <c r="T14" i="1" s="1"/>
  <c r="Y2" i="1"/>
  <c r="X3" i="1"/>
  <c r="T12" i="1" s="1"/>
  <c r="X4" i="1"/>
  <c r="T13" i="1" s="1"/>
  <c r="Y5" i="1"/>
  <c r="Y4" i="1"/>
  <c r="Z5" i="1"/>
  <c r="Y3" i="1"/>
  <c r="Z4" i="1"/>
  <c r="AA5" i="1"/>
  <c r="Z3" i="1"/>
  <c r="AA4" i="1"/>
  <c r="AT22" i="2" l="1"/>
  <c r="AV22" i="2" s="1"/>
  <c r="AW22" i="2" s="1"/>
  <c r="AT4" i="2"/>
  <c r="AV4" i="2" s="1"/>
  <c r="AW4" i="2" s="1"/>
  <c r="AT19" i="2"/>
  <c r="AV19" i="2" s="1"/>
  <c r="AW19" i="2" s="1"/>
  <c r="AT5" i="2"/>
  <c r="AV5" i="2" s="1"/>
  <c r="AW5" i="2" s="1"/>
  <c r="AT17" i="2"/>
  <c r="AV17" i="2" s="1"/>
  <c r="AW17" i="2" s="1"/>
  <c r="AT23" i="2"/>
  <c r="AV23" i="2" s="1"/>
  <c r="AW23" i="2" s="1"/>
  <c r="AT21" i="2"/>
  <c r="AV21" i="2" s="1"/>
  <c r="AW21" i="2" s="1"/>
  <c r="AT13" i="2"/>
  <c r="AV13" i="2" s="1"/>
  <c r="AW13" i="2" s="1"/>
  <c r="AT6" i="2"/>
  <c r="AV6" i="2" s="1"/>
  <c r="AW6" i="2" s="1"/>
  <c r="AT7" i="2"/>
  <c r="AV7" i="2" s="1"/>
  <c r="AW7" i="2" s="1"/>
  <c r="AT8" i="2"/>
  <c r="AV8" i="2" s="1"/>
  <c r="AW8" i="2" s="1"/>
  <c r="AT11" i="2"/>
  <c r="AV11" i="2" s="1"/>
  <c r="AW11" i="2" s="1"/>
  <c r="AT14" i="2"/>
  <c r="AV14" i="2" s="1"/>
  <c r="AW14" i="2" s="1"/>
  <c r="AT9" i="2"/>
  <c r="AV9" i="2" s="1"/>
  <c r="AW9" i="2" s="1"/>
  <c r="AT18" i="2"/>
  <c r="AV18" i="2" s="1"/>
  <c r="AW18" i="2" s="1"/>
  <c r="AT16" i="2"/>
  <c r="AV16" i="2" s="1"/>
  <c r="AW16" i="2" s="1"/>
  <c r="AT15" i="2"/>
  <c r="AV15" i="2" s="1"/>
  <c r="AW15" i="2" s="1"/>
  <c r="AG3" i="1" a="1"/>
  <c r="Q12" i="1" a="1"/>
  <c r="AT10" i="2"/>
  <c r="AV10" i="2" s="1"/>
  <c r="AW10" i="2" s="1"/>
  <c r="AT12" i="2"/>
  <c r="AV12" i="2" s="1"/>
  <c r="AW12" i="2" s="1"/>
  <c r="Z24" i="2"/>
  <c r="AB24" i="2" s="1"/>
  <c r="AC24" i="2" s="1"/>
  <c r="W24" i="2"/>
  <c r="Y24" i="2" s="1"/>
  <c r="Z22" i="2"/>
  <c r="AB22" i="2" s="1"/>
  <c r="AC22" i="2" s="1"/>
  <c r="W21" i="2"/>
  <c r="Y21" i="2" s="1"/>
  <c r="Z18" i="2"/>
  <c r="AB18" i="2" s="1"/>
  <c r="AC18" i="2" s="1"/>
  <c r="W17" i="2"/>
  <c r="Y17" i="2" s="1"/>
  <c r="Z14" i="2"/>
  <c r="AB14" i="2" s="1"/>
  <c r="AC14" i="2" s="1"/>
  <c r="W13" i="2"/>
  <c r="Y13" i="2" s="1"/>
  <c r="W8" i="2"/>
  <c r="Y8" i="2" s="1"/>
  <c r="Z23" i="2"/>
  <c r="AB23" i="2" s="1"/>
  <c r="AC23" i="2" s="1"/>
  <c r="W22" i="2"/>
  <c r="Y22" i="2" s="1"/>
  <c r="Z19" i="2"/>
  <c r="AB19" i="2" s="1"/>
  <c r="AC19" i="2" s="1"/>
  <c r="W18" i="2"/>
  <c r="Y18" i="2" s="1"/>
  <c r="Z15" i="2"/>
  <c r="AB15" i="2" s="1"/>
  <c r="AC15" i="2" s="1"/>
  <c r="W14" i="2"/>
  <c r="Y14" i="2" s="1"/>
  <c r="W7" i="2"/>
  <c r="Y7" i="2" s="1"/>
  <c r="W6" i="2"/>
  <c r="Y6" i="2" s="1"/>
  <c r="W5" i="2"/>
  <c r="Y5" i="2" s="1"/>
  <c r="W4" i="2"/>
  <c r="Y4" i="2" s="1"/>
  <c r="Z11" i="2"/>
  <c r="AB11" i="2" s="1"/>
  <c r="AC11" i="2" s="1"/>
  <c r="W23" i="2"/>
  <c r="Y23" i="2" s="1"/>
  <c r="Z20" i="2"/>
  <c r="AB20" i="2" s="1"/>
  <c r="AC20" i="2" s="1"/>
  <c r="W19" i="2"/>
  <c r="Y19" i="2" s="1"/>
  <c r="Z16" i="2"/>
  <c r="AB16" i="2" s="1"/>
  <c r="AC16" i="2" s="1"/>
  <c r="W15" i="2"/>
  <c r="Y15" i="2" s="1"/>
  <c r="Z12" i="2"/>
  <c r="AB12" i="2" s="1"/>
  <c r="AC12" i="2" s="1"/>
  <c r="Z10" i="2"/>
  <c r="AB10" i="2" s="1"/>
  <c r="AC10" i="2" s="1"/>
  <c r="W11" i="2"/>
  <c r="Y11" i="2" s="1"/>
  <c r="Z9" i="2"/>
  <c r="AB9" i="2" s="1"/>
  <c r="AC9" i="2" s="1"/>
  <c r="Z21" i="2"/>
  <c r="AB21" i="2" s="1"/>
  <c r="AC21" i="2" s="1"/>
  <c r="W20" i="2"/>
  <c r="Y20" i="2" s="1"/>
  <c r="Z17" i="2"/>
  <c r="AB17" i="2" s="1"/>
  <c r="AC17" i="2" s="1"/>
  <c r="W16" i="2"/>
  <c r="Y16" i="2" s="1"/>
  <c r="Z13" i="2"/>
  <c r="AB13" i="2" s="1"/>
  <c r="AC13" i="2" s="1"/>
  <c r="W12" i="2"/>
  <c r="Y12" i="2" s="1"/>
  <c r="W10" i="2"/>
  <c r="Y10" i="2" s="1"/>
  <c r="Z8" i="2"/>
  <c r="AB8" i="2" s="1"/>
  <c r="AC8" i="2" s="1"/>
  <c r="W9" i="2"/>
  <c r="Y9" i="2" s="1"/>
  <c r="Z7" i="2"/>
  <c r="AB7" i="2" s="1"/>
  <c r="AC7" i="2" s="1"/>
  <c r="Z6" i="2"/>
  <c r="AB6" i="2" s="1"/>
  <c r="AC6" i="2" s="1"/>
  <c r="Z5" i="2"/>
  <c r="AB5" i="2" s="1"/>
  <c r="AC5" i="2" s="1"/>
  <c r="Z4" i="2"/>
  <c r="AB4" i="2" s="1"/>
  <c r="AC4" i="2" s="1"/>
  <c r="AQ24" i="2"/>
  <c r="AS24" i="2" s="1"/>
  <c r="AQ22" i="2"/>
  <c r="AS22" i="2" s="1"/>
  <c r="AQ18" i="2"/>
  <c r="AS18" i="2" s="1"/>
  <c r="AQ14" i="2"/>
  <c r="AS14" i="2" s="1"/>
  <c r="AQ7" i="2"/>
  <c r="AS7" i="2" s="1"/>
  <c r="AQ6" i="2"/>
  <c r="AS6" i="2" s="1"/>
  <c r="AQ5" i="2"/>
  <c r="AS5" i="2" s="1"/>
  <c r="AQ4" i="2"/>
  <c r="AS4" i="2" s="1"/>
  <c r="AQ23" i="2"/>
  <c r="AS23" i="2" s="1"/>
  <c r="AQ19" i="2"/>
  <c r="AS19" i="2" s="1"/>
  <c r="AQ15" i="2"/>
  <c r="AS15" i="2" s="1"/>
  <c r="AQ11" i="2"/>
  <c r="AS11" i="2" s="1"/>
  <c r="AQ10" i="2"/>
  <c r="AS10" i="2" s="1"/>
  <c r="AQ20" i="2"/>
  <c r="AS20" i="2" s="1"/>
  <c r="AQ16" i="2"/>
  <c r="AS16" i="2" s="1"/>
  <c r="AQ12" i="2"/>
  <c r="AS12" i="2" s="1"/>
  <c r="AQ9" i="2"/>
  <c r="AS9" i="2" s="1"/>
  <c r="AQ8" i="2"/>
  <c r="AS8" i="2" s="1"/>
  <c r="AQ21" i="2"/>
  <c r="AS21" i="2" s="1"/>
  <c r="AQ17" i="2"/>
  <c r="AS17" i="2" s="1"/>
  <c r="AQ13" i="2"/>
  <c r="AS13" i="2" s="1"/>
  <c r="AT20" i="2"/>
  <c r="AV20" i="2" s="1"/>
  <c r="AW20" i="2" s="1"/>
  <c r="Q14" i="1" l="1"/>
  <c r="Q13" i="1"/>
  <c r="Q12" i="1"/>
  <c r="AH4" i="1"/>
  <c r="AG4" i="1"/>
  <c r="AI3" i="1"/>
  <c r="AH3" i="1"/>
  <c r="AI5" i="1"/>
  <c r="AI4" i="1"/>
  <c r="AH5" i="1"/>
  <c r="AG3" i="1"/>
  <c r="AL3" i="1" s="1" a="1"/>
  <c r="AG5" i="1"/>
  <c r="AL5" i="1" l="1"/>
  <c r="AN4" i="1"/>
  <c r="AM4" i="1"/>
  <c r="AL4" i="1"/>
  <c r="AN3" i="1"/>
  <c r="AL3" i="1"/>
  <c r="U12" i="1" s="1" a="1"/>
  <c r="AM3" i="1"/>
  <c r="AM5" i="1"/>
  <c r="AN5" i="1"/>
  <c r="U12" i="1" l="1"/>
  <c r="U13" i="1"/>
  <c r="U14" i="1"/>
  <c r="Z22" i="1" l="1" a="1"/>
  <c r="Z12" i="1" a="1"/>
  <c r="Z16" i="1" l="1"/>
  <c r="Z15" i="1"/>
  <c r="Z14" i="1"/>
  <c r="Z13" i="1"/>
  <c r="Z12" i="1"/>
  <c r="Z17" i="1"/>
  <c r="Z23" i="1"/>
  <c r="AG23" i="1" s="1"/>
  <c r="AL13" i="1" s="1"/>
  <c r="Z22" i="1"/>
  <c r="AG22" i="1" s="1"/>
  <c r="AL12" i="1" s="1"/>
  <c r="AG12" i="1" l="1" a="1"/>
  <c r="AG17" i="1" l="1"/>
  <c r="AG16" i="1"/>
  <c r="AM13" i="1" s="1"/>
  <c r="AO13" i="1" s="1"/>
  <c r="AG15" i="1"/>
  <c r="AM15" i="1" s="1"/>
  <c r="AG14" i="1"/>
  <c r="AL15" i="1" s="1"/>
  <c r="AG13" i="1"/>
  <c r="AG12" i="1"/>
  <c r="AM12" i="1" s="1"/>
  <c r="AO12" i="1" s="1"/>
  <c r="AP15" i="1" l="1"/>
  <c r="AN12" i="1"/>
  <c r="AO15" i="1"/>
  <c r="AQ15" i="1"/>
  <c r="AN15" i="1" l="1"/>
  <c r="AQ13" i="1"/>
  <c r="AP13" i="1" s="1"/>
  <c r="C10" i="2"/>
  <c r="E10" i="2" s="1"/>
  <c r="C21" i="2"/>
  <c r="E21" i="2" s="1"/>
  <c r="C17" i="2"/>
  <c r="E17" i="2" s="1"/>
  <c r="C13" i="2"/>
  <c r="E13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22" i="2"/>
  <c r="E22" i="2" s="1"/>
  <c r="C18" i="2"/>
  <c r="E18" i="2" s="1"/>
  <c r="C14" i="2"/>
  <c r="E14" i="2" s="1"/>
  <c r="C23" i="2"/>
  <c r="E23" i="2" s="1"/>
  <c r="C19" i="2"/>
  <c r="E19" i="2" s="1"/>
  <c r="C15" i="2"/>
  <c r="E15" i="2" s="1"/>
  <c r="C24" i="2"/>
  <c r="E24" i="2" s="1"/>
  <c r="C20" i="2"/>
  <c r="E20" i="2" s="1"/>
  <c r="C16" i="2"/>
  <c r="E16" i="2" s="1"/>
  <c r="C12" i="2"/>
  <c r="E12" i="2" s="1"/>
  <c r="C11" i="2"/>
  <c r="E11" i="2" s="1"/>
  <c r="F22" i="2"/>
  <c r="H22" i="2" s="1"/>
  <c r="I22" i="2" s="1"/>
  <c r="F16" i="2"/>
  <c r="H16" i="2" s="1"/>
  <c r="I16" i="2" s="1"/>
  <c r="F9" i="2"/>
  <c r="H9" i="2" s="1"/>
  <c r="I9" i="2" s="1"/>
  <c r="F12" i="2"/>
  <c r="H12" i="2" s="1"/>
  <c r="I12" i="2" s="1"/>
  <c r="F18" i="2"/>
  <c r="H18" i="2" s="1"/>
  <c r="I18" i="2" s="1"/>
  <c r="F14" i="2"/>
  <c r="H14" i="2" s="1"/>
  <c r="I14" i="2" s="1"/>
  <c r="F11" i="2"/>
  <c r="H11" i="2" s="1"/>
  <c r="I11" i="2" s="1"/>
  <c r="F6" i="2"/>
  <c r="H6" i="2" s="1"/>
  <c r="I6" i="2" s="1"/>
  <c r="F23" i="2"/>
  <c r="H23" i="2" s="1"/>
  <c r="I23" i="2" s="1"/>
  <c r="F5" i="2"/>
  <c r="H5" i="2" s="1"/>
  <c r="I5" i="2" s="1"/>
  <c r="F13" i="2"/>
  <c r="H13" i="2" s="1"/>
  <c r="I13" i="2" s="1"/>
  <c r="F4" i="2"/>
  <c r="H4" i="2" s="1"/>
  <c r="I4" i="2" s="1"/>
  <c r="F7" i="2"/>
  <c r="H7" i="2" s="1"/>
  <c r="I7" i="2" s="1"/>
  <c r="F19" i="2"/>
  <c r="H19" i="2" s="1"/>
  <c r="I19" i="2" s="1"/>
  <c r="F10" i="2"/>
  <c r="H10" i="2" s="1"/>
  <c r="I10" i="2" s="1"/>
  <c r="F20" i="2"/>
  <c r="H20" i="2" s="1"/>
  <c r="I20" i="2" s="1"/>
  <c r="F15" i="2"/>
  <c r="H15" i="2" s="1"/>
  <c r="I15" i="2" s="1"/>
  <c r="F21" i="2"/>
  <c r="H21" i="2" s="1"/>
  <c r="I21" i="2" s="1"/>
  <c r="F24" i="2"/>
  <c r="H24" i="2" s="1"/>
  <c r="I24" i="2" s="1"/>
  <c r="F17" i="2"/>
  <c r="H17" i="2" s="1"/>
  <c r="I17" i="2" s="1"/>
  <c r="F8" i="2"/>
  <c r="H8" i="2" s="1"/>
  <c r="I8" i="2" s="1"/>
  <c r="M23" i="2"/>
  <c r="O23" i="2" s="1"/>
  <c r="M19" i="2"/>
  <c r="O19" i="2" s="1"/>
  <c r="M15" i="2"/>
  <c r="O15" i="2" s="1"/>
  <c r="M11" i="2"/>
  <c r="O11" i="2" s="1"/>
  <c r="M7" i="2"/>
  <c r="O7" i="2" s="1"/>
  <c r="M6" i="2"/>
  <c r="O6" i="2" s="1"/>
  <c r="M5" i="2"/>
  <c r="O5" i="2" s="1"/>
  <c r="M4" i="2"/>
  <c r="O4" i="2" s="1"/>
  <c r="M24" i="2"/>
  <c r="O24" i="2" s="1"/>
  <c r="M20" i="2"/>
  <c r="O20" i="2" s="1"/>
  <c r="M16" i="2"/>
  <c r="O16" i="2" s="1"/>
  <c r="M12" i="2"/>
  <c r="O12" i="2" s="1"/>
  <c r="M10" i="2"/>
  <c r="O10" i="2" s="1"/>
  <c r="M9" i="2"/>
  <c r="O9" i="2" s="1"/>
  <c r="M21" i="2"/>
  <c r="O21" i="2" s="1"/>
  <c r="M17" i="2"/>
  <c r="O17" i="2" s="1"/>
  <c r="M13" i="2"/>
  <c r="O13" i="2" s="1"/>
  <c r="M8" i="2"/>
  <c r="O8" i="2" s="1"/>
  <c r="M22" i="2"/>
  <c r="O22" i="2" s="1"/>
  <c r="M18" i="2"/>
  <c r="O18" i="2" s="1"/>
  <c r="M14" i="2"/>
  <c r="O14" i="2" s="1"/>
  <c r="P11" i="2"/>
  <c r="R11" i="2" s="1"/>
  <c r="S11" i="2" s="1"/>
  <c r="P21" i="2"/>
  <c r="R21" i="2" s="1"/>
  <c r="S21" i="2" s="1"/>
  <c r="P19" i="2"/>
  <c r="R19" i="2" s="1"/>
  <c r="S19" i="2" s="1"/>
  <c r="P24" i="2"/>
  <c r="R24" i="2" s="1"/>
  <c r="S24" i="2" s="1"/>
  <c r="P17" i="2"/>
  <c r="R17" i="2" s="1"/>
  <c r="S17" i="2" s="1"/>
  <c r="P15" i="2"/>
  <c r="R15" i="2" s="1"/>
  <c r="S15" i="2" s="1"/>
  <c r="P20" i="2"/>
  <c r="R20" i="2" s="1"/>
  <c r="S20" i="2" s="1"/>
  <c r="P13" i="2"/>
  <c r="R13" i="2" s="1"/>
  <c r="S13" i="2" s="1"/>
  <c r="P7" i="2"/>
  <c r="R7" i="2" s="1"/>
  <c r="S7" i="2" s="1"/>
  <c r="P8" i="2"/>
  <c r="R8" i="2" s="1"/>
  <c r="S8" i="2" s="1"/>
  <c r="P6" i="2"/>
  <c r="R6" i="2" s="1"/>
  <c r="S6" i="2" s="1"/>
  <c r="P9" i="2"/>
  <c r="R9" i="2" s="1"/>
  <c r="S9" i="2" s="1"/>
  <c r="P16" i="2"/>
  <c r="R16" i="2" s="1"/>
  <c r="S16" i="2" s="1"/>
  <c r="P12" i="2"/>
  <c r="R12" i="2" s="1"/>
  <c r="S12" i="2" s="1"/>
  <c r="P22" i="2"/>
  <c r="R22" i="2" s="1"/>
  <c r="S22" i="2" s="1"/>
  <c r="P5" i="2"/>
  <c r="R5" i="2" s="1"/>
  <c r="S5" i="2" s="1"/>
  <c r="P10" i="2"/>
  <c r="R10" i="2" s="1"/>
  <c r="S10" i="2" s="1"/>
  <c r="P18" i="2"/>
  <c r="R18" i="2" s="1"/>
  <c r="S18" i="2" s="1"/>
  <c r="P4" i="2"/>
  <c r="R4" i="2" s="1"/>
  <c r="S4" i="2" s="1"/>
  <c r="P23" i="2"/>
  <c r="R23" i="2" s="1"/>
  <c r="S23" i="2" s="1"/>
  <c r="P14" i="2"/>
  <c r="R14" i="2" s="1"/>
  <c r="S14" i="2" s="1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7" i="2"/>
  <c r="AF6" i="2"/>
  <c r="AF5" i="2"/>
  <c r="AF4" i="2"/>
  <c r="AF8" i="2"/>
  <c r="L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7" i="2"/>
  <c r="L6" i="2"/>
  <c r="L5" i="2"/>
  <c r="L4" i="2"/>
  <c r="L10" i="2"/>
  <c r="L9" i="2"/>
  <c r="L8" i="2"/>
  <c r="AG24" i="2"/>
  <c r="AI24" i="2" s="1"/>
  <c r="AG23" i="2"/>
  <c r="AI23" i="2" s="1"/>
  <c r="AG19" i="2"/>
  <c r="AI19" i="2" s="1"/>
  <c r="AG15" i="2"/>
  <c r="AI15" i="2" s="1"/>
  <c r="AG11" i="2"/>
  <c r="AI11" i="2" s="1"/>
  <c r="AG10" i="2"/>
  <c r="AI10" i="2" s="1"/>
  <c r="AG20" i="2"/>
  <c r="AI20" i="2" s="1"/>
  <c r="AG16" i="2"/>
  <c r="AI16" i="2" s="1"/>
  <c r="AG12" i="2"/>
  <c r="AI12" i="2" s="1"/>
  <c r="AG9" i="2"/>
  <c r="AI9" i="2" s="1"/>
  <c r="AG7" i="2"/>
  <c r="AI7" i="2" s="1"/>
  <c r="AG6" i="2"/>
  <c r="AI6" i="2" s="1"/>
  <c r="AG5" i="2"/>
  <c r="AI5" i="2" s="1"/>
  <c r="AG4" i="2"/>
  <c r="AI4" i="2" s="1"/>
  <c r="AG8" i="2"/>
  <c r="AI8" i="2" s="1"/>
  <c r="AG21" i="2"/>
  <c r="AI21" i="2" s="1"/>
  <c r="AG17" i="2"/>
  <c r="AI17" i="2" s="1"/>
  <c r="AG13" i="2"/>
  <c r="AI13" i="2" s="1"/>
  <c r="AG22" i="2"/>
  <c r="AI22" i="2" s="1"/>
  <c r="AG18" i="2"/>
  <c r="AI18" i="2" s="1"/>
  <c r="AG14" i="2"/>
  <c r="AI14" i="2" s="1"/>
  <c r="AQ12" i="1"/>
  <c r="AP12" i="1" s="1"/>
  <c r="AJ8" i="2"/>
  <c r="AL8" i="2" s="1"/>
  <c r="AM8" i="2" s="1"/>
  <c r="AJ19" i="2"/>
  <c r="AL19" i="2" s="1"/>
  <c r="AM19" i="2" s="1"/>
  <c r="AJ21" i="2"/>
  <c r="AL21" i="2" s="1"/>
  <c r="AM21" i="2" s="1"/>
  <c r="AJ15" i="2"/>
  <c r="AL15" i="2" s="1"/>
  <c r="AM15" i="2" s="1"/>
  <c r="AJ24" i="2"/>
  <c r="AL24" i="2" s="1"/>
  <c r="AM24" i="2" s="1"/>
  <c r="AJ17" i="2"/>
  <c r="AL17" i="2" s="1"/>
  <c r="AM17" i="2" s="1"/>
  <c r="AJ11" i="2"/>
  <c r="AL11" i="2" s="1"/>
  <c r="AM11" i="2" s="1"/>
  <c r="AJ18" i="2"/>
  <c r="AL18" i="2" s="1"/>
  <c r="AM18" i="2" s="1"/>
  <c r="AJ9" i="2"/>
  <c r="AL9" i="2" s="1"/>
  <c r="AM9" i="2" s="1"/>
  <c r="AJ13" i="2"/>
  <c r="AL13" i="2" s="1"/>
  <c r="AM13" i="2" s="1"/>
  <c r="AJ10" i="2"/>
  <c r="AL10" i="2" s="1"/>
  <c r="AM10" i="2" s="1"/>
  <c r="AJ14" i="2"/>
  <c r="AL14" i="2" s="1"/>
  <c r="AM14" i="2" s="1"/>
  <c r="AJ23" i="2"/>
  <c r="AL23" i="2" s="1"/>
  <c r="AM23" i="2" s="1"/>
  <c r="AJ20" i="2"/>
  <c r="AL20" i="2" s="1"/>
  <c r="AM20" i="2" s="1"/>
  <c r="AJ22" i="2"/>
  <c r="AL22" i="2" s="1"/>
  <c r="AM22" i="2" s="1"/>
  <c r="AJ7" i="2"/>
  <c r="AL7" i="2" s="1"/>
  <c r="AM7" i="2" s="1"/>
  <c r="AJ16" i="2"/>
  <c r="AL16" i="2" s="1"/>
  <c r="AM16" i="2" s="1"/>
  <c r="AJ4" i="2"/>
  <c r="AL4" i="2" s="1"/>
  <c r="AM4" i="2" s="1"/>
  <c r="AJ6" i="2"/>
  <c r="AL6" i="2" s="1"/>
  <c r="AM6" i="2" s="1"/>
  <c r="AJ12" i="2"/>
  <c r="AL12" i="2" s="1"/>
  <c r="AM12" i="2" s="1"/>
  <c r="AJ5" i="2"/>
  <c r="AL5" i="2" s="1"/>
  <c r="AM5" i="2" s="1"/>
  <c r="B24" i="2" l="1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<sst xmlns="http://schemas.openxmlformats.org/spreadsheetml/2006/main" count="312" uniqueCount="166">
  <si>
    <t>GEOMETRY</t>
  </si>
  <si>
    <t>MATERIAL</t>
  </si>
  <si>
    <t>Compatibility</t>
  </si>
  <si>
    <t>Behaviour</t>
  </si>
  <si>
    <t>Equilibrium</t>
  </si>
  <si>
    <t>Stiffness</t>
  </si>
  <si>
    <t>Flexibility</t>
  </si>
  <si>
    <t>L1</t>
  </si>
  <si>
    <t>[m]</t>
  </si>
  <si>
    <t>E</t>
  </si>
  <si>
    <t>[N/mm2]</t>
  </si>
  <si>
    <t>(C)</t>
  </si>
  <si>
    <t>θD</t>
  </si>
  <si>
    <t>θE</t>
  </si>
  <si>
    <t>Δ</t>
  </si>
  <si>
    <t>(k)</t>
  </si>
  <si>
    <t>ϕ1f</t>
  </si>
  <si>
    <t>δ1f</t>
  </si>
  <si>
    <t>ϕ4i</t>
  </si>
  <si>
    <t>ϕ4f</t>
  </si>
  <si>
    <t>ϕ2f</t>
  </si>
  <si>
    <t>δ2f</t>
  </si>
  <si>
    <t>(H)</t>
  </si>
  <si>
    <t>(K)</t>
  </si>
  <si>
    <t>(K)-1</t>
  </si>
  <si>
    <t>ME</t>
  </si>
  <si>
    <t>V</t>
  </si>
  <si>
    <t>L2</t>
  </si>
  <si>
    <t>RESTRAINTS</t>
  </si>
  <si>
    <t>m1f</t>
  </si>
  <si>
    <t>MD</t>
  </si>
  <si>
    <t>L3</t>
  </si>
  <si>
    <t>A</t>
  </si>
  <si>
    <t>Fixed</t>
  </si>
  <si>
    <t>v1f</t>
  </si>
  <si>
    <t>L4</t>
  </si>
  <si>
    <t>B</t>
  </si>
  <si>
    <t>m4i</t>
  </si>
  <si>
    <t>L5</t>
  </si>
  <si>
    <t>m4f</t>
  </si>
  <si>
    <t>b1</t>
  </si>
  <si>
    <t>[mm]</t>
  </si>
  <si>
    <t>h1</t>
  </si>
  <si>
    <t>m2f</t>
  </si>
  <si>
    <t>b2</t>
  </si>
  <si>
    <t>h2</t>
  </si>
  <si>
    <t>v2f</t>
  </si>
  <si>
    <t>b3</t>
  </si>
  <si>
    <t>h3</t>
  </si>
  <si>
    <t>Forces in member ends</t>
  </si>
  <si>
    <t>b4</t>
  </si>
  <si>
    <t>h4</t>
  </si>
  <si>
    <t>Fixed-end reactions</t>
  </si>
  <si>
    <t>Forces in DOF</t>
  </si>
  <si>
    <t>Movements in DOF</t>
  </si>
  <si>
    <t>due to DOF movements</t>
  </si>
  <si>
    <t>Forces in DOF member ends</t>
  </si>
  <si>
    <t>Forces in all member ends</t>
  </si>
  <si>
    <t>b5</t>
  </si>
  <si>
    <t>h5</t>
  </si>
  <si>
    <t>F</t>
  </si>
  <si>
    <t>q</t>
  </si>
  <si>
    <r>
      <rPr>
        <b/>
        <sz val="11"/>
        <color theme="1"/>
        <rFont val="Calibri"/>
      </rPr>
      <t>{</t>
    </r>
    <r>
      <rPr>
        <b/>
        <sz val="11"/>
        <color theme="1"/>
        <rFont val="Calibri"/>
      </rPr>
      <t>M̅</t>
    </r>
    <r>
      <rPr>
        <b/>
        <sz val="11"/>
        <color theme="1"/>
        <rFont val="Calibri"/>
      </rPr>
      <t>}</t>
    </r>
  </si>
  <si>
    <t>{F}</t>
  </si>
  <si>
    <t>{θ}</t>
  </si>
  <si>
    <t>{m}</t>
  </si>
  <si>
    <t>{S}</t>
  </si>
  <si>
    <t>Mi</t>
  </si>
  <si>
    <t>Mf</t>
  </si>
  <si>
    <t>Vi</t>
  </si>
  <si>
    <t>Vf</t>
  </si>
  <si>
    <t>Ni</t>
  </si>
  <si>
    <t>Nf</t>
  </si>
  <si>
    <t>I1</t>
  </si>
  <si>
    <t>[m4]</t>
  </si>
  <si>
    <t>EI1</t>
  </si>
  <si>
    <t>[kNm2]</t>
  </si>
  <si>
    <t>m̅1f</t>
  </si>
  <si>
    <r>
      <rPr>
        <sz val="11"/>
        <color theme="1"/>
        <rFont val="Calibri"/>
      </rPr>
      <t>M</t>
    </r>
    <r>
      <rPr>
        <sz val="11"/>
        <color theme="1"/>
        <rFont val="Calibri"/>
      </rPr>
      <t>̅</t>
    </r>
    <r>
      <rPr>
        <sz val="11"/>
        <color theme="1"/>
        <rFont val="Calibri"/>
      </rPr>
      <t>D</t>
    </r>
  </si>
  <si>
    <t>M1f</t>
  </si>
  <si>
    <t>I2</t>
  </si>
  <si>
    <t>EI2</t>
  </si>
  <si>
    <t>v̅1f</t>
  </si>
  <si>
    <r>
      <rPr>
        <sz val="11"/>
        <color theme="1"/>
        <rFont val="Calibri"/>
      </rPr>
      <t>M</t>
    </r>
    <r>
      <rPr>
        <sz val="11"/>
        <color theme="1"/>
        <rFont val="Calibri"/>
      </rPr>
      <t>̅</t>
    </r>
    <r>
      <rPr>
        <sz val="11"/>
        <color theme="1"/>
        <rFont val="Calibri"/>
      </rPr>
      <t>E</t>
    </r>
  </si>
  <si>
    <t>V1f</t>
  </si>
  <si>
    <t>I3</t>
  </si>
  <si>
    <t>EI3</t>
  </si>
  <si>
    <t>m̅4i</t>
  </si>
  <si>
    <r>
      <rPr>
        <sz val="11"/>
        <color theme="1"/>
        <rFont val="Calibri"/>
      </rPr>
      <t>V</t>
    </r>
    <r>
      <rPr>
        <sz val="11"/>
        <color theme="1"/>
        <rFont val="Calibri"/>
      </rPr>
      <t>̅</t>
    </r>
  </si>
  <si>
    <t>M4i</t>
  </si>
  <si>
    <t>I4</t>
  </si>
  <si>
    <t>EI4</t>
  </si>
  <si>
    <t>m̅4f</t>
  </si>
  <si>
    <t>M4f</t>
  </si>
  <si>
    <t>I5</t>
  </si>
  <si>
    <t>EI5</t>
  </si>
  <si>
    <t>m̅2f</t>
  </si>
  <si>
    <t>M2f</t>
  </si>
  <si>
    <t>v̅2f</t>
  </si>
  <si>
    <t>V2f</t>
  </si>
  <si>
    <t>LOADS</t>
  </si>
  <si>
    <t>q1</t>
  </si>
  <si>
    <t>[kN/m]</t>
  </si>
  <si>
    <t>d1</t>
  </si>
  <si>
    <t>c1</t>
  </si>
  <si>
    <t>Forces in restraints</t>
  </si>
  <si>
    <t>q2</t>
  </si>
  <si>
    <t>d2</t>
  </si>
  <si>
    <t>c2</t>
  </si>
  <si>
    <t>Fixed-end reactions in restraints</t>
  </si>
  <si>
    <t>Reactions stiffness</t>
  </si>
  <si>
    <t>q3</t>
  </si>
  <si>
    <t>d3</t>
  </si>
  <si>
    <t>c3</t>
  </si>
  <si>
    <t>{M̅R}</t>
  </si>
  <si>
    <t>(KR)</t>
  </si>
  <si>
    <t>{mR}</t>
  </si>
  <si>
    <t>{MR}</t>
  </si>
  <si>
    <t>q4</t>
  </si>
  <si>
    <t>d4</t>
  </si>
  <si>
    <t>c4</t>
  </si>
  <si>
    <t>m̅1i</t>
  </si>
  <si>
    <t>m1i</t>
  </si>
  <si>
    <t>M1i</t>
  </si>
  <si>
    <t>q5</t>
  </si>
  <si>
    <t>d5</t>
  </si>
  <si>
    <t>c5</t>
  </si>
  <si>
    <t>m̅2i</t>
  </si>
  <si>
    <t>m2i</t>
  </si>
  <si>
    <t>M2i</t>
  </si>
  <si>
    <t>F1</t>
  </si>
  <si>
    <t>[kN]</t>
  </si>
  <si>
    <t>D1</t>
  </si>
  <si>
    <t>F2</t>
  </si>
  <si>
    <t>D2</t>
  </si>
  <si>
    <t>Fixed-end cantilever reactions</t>
  </si>
  <si>
    <t>F3</t>
  </si>
  <si>
    <t>D3</t>
  </si>
  <si>
    <r>
      <rPr>
        <b/>
        <sz val="11"/>
        <color theme="1"/>
        <rFont val="Calibri"/>
      </rPr>
      <t>{</t>
    </r>
    <r>
      <rPr>
        <b/>
        <sz val="11"/>
        <color theme="1"/>
        <rFont val="Calibri"/>
      </rPr>
      <t>M̅vol</t>
    </r>
    <r>
      <rPr>
        <b/>
        <sz val="11"/>
        <color theme="1"/>
        <rFont val="Calibri"/>
      </rPr>
      <t>}</t>
    </r>
  </si>
  <si>
    <t>Forces in cantilever ends</t>
  </si>
  <si>
    <t>F4</t>
  </si>
  <si>
    <t>D4</t>
  </si>
  <si>
    <t>m̅3f</t>
  </si>
  <si>
    <t>M3f</t>
  </si>
  <si>
    <t>F5</t>
  </si>
  <si>
    <t>D5</t>
  </si>
  <si>
    <t>m̅5i</t>
  </si>
  <si>
    <t>M5i</t>
  </si>
  <si>
    <t>Member internal forces</t>
  </si>
  <si>
    <t>x/L</t>
  </si>
  <si>
    <t>N(x)</t>
  </si>
  <si>
    <t>VF(x)</t>
  </si>
  <si>
    <t>Vq(x)</t>
  </si>
  <si>
    <t>V(x)</t>
  </si>
  <si>
    <t>MF(x)</t>
  </si>
  <si>
    <t>Mq(x)</t>
  </si>
  <si>
    <t>M(x)</t>
  </si>
  <si>
    <t>[-]</t>
  </si>
  <si>
    <t>[kNm]</t>
  </si>
  <si>
    <t>STIFFNESS COEFFICIENTS</t>
  </si>
  <si>
    <t>km</t>
  </si>
  <si>
    <t>km'</t>
  </si>
  <si>
    <t>kv</t>
  </si>
  <si>
    <t>kmv</t>
  </si>
  <si>
    <t>Pin</t>
  </si>
  <si>
    <t>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</si>
</sst>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2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2" borderId="7" xfId="0" applyFont="1" applyFill="1" applyBorder="1"/>
    <xf numFmtId="0" fontId="1" fillId="2" borderId="7" xfId="0" applyFont="1" applyFill="1" applyBorder="1"/>
    <xf numFmtId="0" fontId="1" fillId="0" borderId="8" xfId="0" applyFont="1" applyBorder="1"/>
    <xf numFmtId="2" fontId="1" fillId="0" borderId="9" xfId="0" applyNumberFormat="1" applyFont="1" applyBorder="1"/>
    <xf numFmtId="0" fontId="3" fillId="0" borderId="0" xfId="0" applyFont="1"/>
    <xf numFmtId="0" fontId="1" fillId="3" borderId="7" xfId="0" applyFont="1" applyFill="1" applyBorder="1"/>
    <xf numFmtId="1" fontId="1" fillId="3" borderId="7" xfId="0" applyNumberFormat="1" applyFont="1" applyFill="1" applyBorder="1"/>
    <xf numFmtId="164" fontId="1" fillId="3" borderId="7" xfId="0" applyNumberFormat="1" applyFont="1" applyFill="1" applyBorder="1"/>
    <xf numFmtId="0" fontId="1" fillId="0" borderId="3" xfId="0" applyFont="1" applyBorder="1"/>
    <xf numFmtId="0" fontId="1" fillId="0" borderId="10" xfId="0" applyFont="1" applyBorder="1"/>
    <xf numFmtId="0" fontId="1" fillId="0" borderId="11" xfId="0" applyFont="1" applyBorder="1"/>
    <xf numFmtId="1" fontId="1" fillId="0" borderId="9" xfId="0" applyNumberFormat="1" applyFont="1" applyBorder="1"/>
    <xf numFmtId="1" fontId="1" fillId="0" borderId="3" xfId="0" applyNumberFormat="1" applyFont="1" applyBorder="1"/>
    <xf numFmtId="1" fontId="1" fillId="0" borderId="0" xfId="0" applyNumberFormat="1" applyFont="1"/>
    <xf numFmtId="0" fontId="1" fillId="0" borderId="12" xfId="0" applyFont="1" applyBorder="1"/>
    <xf numFmtId="1" fontId="1" fillId="0" borderId="11" xfId="0" applyNumberFormat="1" applyFont="1" applyBorder="1"/>
    <xf numFmtId="11" fontId="1" fillId="0" borderId="0" xfId="0" applyNumberFormat="1" applyFont="1"/>
    <xf numFmtId="165" fontId="1" fillId="3" borderId="7" xfId="0" applyNumberFormat="1" applyFont="1" applyFill="1" applyBorder="1"/>
    <xf numFmtId="11" fontId="1" fillId="3" borderId="7" xfId="0" applyNumberFormat="1" applyFont="1" applyFill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165" fontId="1" fillId="0" borderId="0" xfId="0" applyNumberFormat="1" applyFont="1" applyAlignment="1"/>
    <xf numFmtId="165" fontId="1" fillId="0" borderId="9" xfId="0" applyNumberFormat="1" applyFont="1" applyBorder="1" applyAlignment="1"/>
    <xf numFmtId="165" fontId="1" fillId="0" borderId="9" xfId="0" applyNumberFormat="1" applyFont="1" applyBorder="1"/>
    <xf numFmtId="165" fontId="1" fillId="0" borderId="0" xfId="0" applyNumberFormat="1" applyFont="1"/>
    <xf numFmtId="2" fontId="1" fillId="3" borderId="7" xfId="0" applyNumberFormat="1" applyFont="1" applyFill="1" applyBorder="1"/>
    <xf numFmtId="165" fontId="1" fillId="0" borderId="11" xfId="0" applyNumberFormat="1" applyFont="1" applyBorder="1"/>
    <xf numFmtId="165" fontId="1" fillId="0" borderId="12" xfId="0" applyNumberFormat="1" applyFont="1" applyBorder="1"/>
    <xf numFmtId="2" fontId="1" fillId="0" borderId="0" xfId="0" applyNumberFormat="1" applyFont="1"/>
    <xf numFmtId="165" fontId="1" fillId="4" borderId="7" xfId="0" applyNumberFormat="1" applyFont="1" applyFill="1" applyBorder="1"/>
    <xf numFmtId="2" fontId="1" fillId="0" borderId="9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'Internal forces'!$B$2</c:f>
              <c:strCache>
                <c:ptCount val="1"/>
                <c:pt idx="0">
                  <c:v>N(x)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forces'!$B$4:$B$24</c:f>
              <c:numCache>
                <c:formatCode>0.0</c:formatCode>
                <c:ptCount val="21"/>
                <c:pt idx="0">
                  <c:v>-30.079884645907285</c:v>
                </c:pt>
                <c:pt idx="1">
                  <c:v>-30.079884645907285</c:v>
                </c:pt>
                <c:pt idx="2">
                  <c:v>-30.079884645907285</c:v>
                </c:pt>
                <c:pt idx="3">
                  <c:v>-30.079884645907285</c:v>
                </c:pt>
                <c:pt idx="4">
                  <c:v>-30.079884645907285</c:v>
                </c:pt>
                <c:pt idx="5">
                  <c:v>-30.079884645907285</c:v>
                </c:pt>
                <c:pt idx="6">
                  <c:v>-30.079884645907285</c:v>
                </c:pt>
                <c:pt idx="7">
                  <c:v>-30.079884645907285</c:v>
                </c:pt>
                <c:pt idx="8">
                  <c:v>-30.079884645907285</c:v>
                </c:pt>
                <c:pt idx="9">
                  <c:v>-30.079884645907285</c:v>
                </c:pt>
                <c:pt idx="10">
                  <c:v>-30.079884645907285</c:v>
                </c:pt>
                <c:pt idx="11">
                  <c:v>-30.079884645907285</c:v>
                </c:pt>
                <c:pt idx="12">
                  <c:v>-30.079884645907285</c:v>
                </c:pt>
                <c:pt idx="13">
                  <c:v>-30.079884645907285</c:v>
                </c:pt>
                <c:pt idx="14">
                  <c:v>-30.079884645907285</c:v>
                </c:pt>
                <c:pt idx="15">
                  <c:v>-30.079884645907285</c:v>
                </c:pt>
                <c:pt idx="16">
                  <c:v>-30.079884645907285</c:v>
                </c:pt>
                <c:pt idx="17">
                  <c:v>-30.079884645907285</c:v>
                </c:pt>
                <c:pt idx="18">
                  <c:v>-30.079884645907285</c:v>
                </c:pt>
                <c:pt idx="19">
                  <c:v>-30.079884645907285</c:v>
                </c:pt>
                <c:pt idx="20">
                  <c:v>-30.079884645907285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F-4221-8B3A-7CEB2EF2C9AD}"/>
            </c:ext>
          </c:extLst>
        </c:ser>
        <c:ser>
          <c:idx val="1"/>
          <c:order val="1"/>
          <c:tx>
            <c:strRef>
              <c:f>'Internal forces'!$E$2</c:f>
              <c:strCache>
                <c:ptCount val="1"/>
                <c:pt idx="0">
                  <c:v>V(x)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forces'!$E$4:$E$24</c:f>
              <c:numCache>
                <c:formatCode>0.0</c:formatCode>
                <c:ptCount val="21"/>
                <c:pt idx="0">
                  <c:v>35.945207700718186</c:v>
                </c:pt>
                <c:pt idx="1">
                  <c:v>35.945207700718186</c:v>
                </c:pt>
                <c:pt idx="2">
                  <c:v>35.945207700718186</c:v>
                </c:pt>
                <c:pt idx="3">
                  <c:v>35.945207700718186</c:v>
                </c:pt>
                <c:pt idx="4">
                  <c:v>35.945207700718186</c:v>
                </c:pt>
                <c:pt idx="5">
                  <c:v>35.945207700718186</c:v>
                </c:pt>
                <c:pt idx="6">
                  <c:v>31.945207700718186</c:v>
                </c:pt>
                <c:pt idx="7">
                  <c:v>27.945207700718186</c:v>
                </c:pt>
                <c:pt idx="8">
                  <c:v>23.945207700718186</c:v>
                </c:pt>
                <c:pt idx="9">
                  <c:v>19.945207700718186</c:v>
                </c:pt>
                <c:pt idx="10">
                  <c:v>15.945207700718186</c:v>
                </c:pt>
                <c:pt idx="11">
                  <c:v>11.945207700718182</c:v>
                </c:pt>
                <c:pt idx="12">
                  <c:v>7.9452077007181856</c:v>
                </c:pt>
                <c:pt idx="13">
                  <c:v>3.9452077007181856</c:v>
                </c:pt>
                <c:pt idx="14">
                  <c:v>-5.4792299281814394E-2</c:v>
                </c:pt>
                <c:pt idx="15">
                  <c:v>-4.0547922992818144</c:v>
                </c:pt>
                <c:pt idx="16">
                  <c:v>-18.054792299281814</c:v>
                </c:pt>
                <c:pt idx="17">
                  <c:v>-22.054792299281814</c:v>
                </c:pt>
                <c:pt idx="18">
                  <c:v>-26.054792299281814</c:v>
                </c:pt>
                <c:pt idx="19">
                  <c:v>-30.054792299281814</c:v>
                </c:pt>
                <c:pt idx="20">
                  <c:v>-34.054792299281814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EF-4221-8B3A-7CEB2EF2C9AD}"/>
            </c:ext>
          </c:extLst>
        </c:ser>
        <c:ser>
          <c:idx val="2"/>
          <c:order val="2"/>
          <c:tx>
            <c:strRef>
              <c:f>'Internal forces'!$H$2</c:f>
              <c:strCache>
                <c:ptCount val="1"/>
                <c:pt idx="0">
                  <c:v>M(x)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forces'!$I$4:$I$24</c:f>
              <c:numCache>
                <c:formatCode>0.0</c:formatCode>
                <c:ptCount val="21"/>
                <c:pt idx="0">
                  <c:v>48.471795732661072</c:v>
                </c:pt>
                <c:pt idx="1">
                  <c:v>41.28275419251743</c:v>
                </c:pt>
                <c:pt idx="2">
                  <c:v>34.093712652373796</c:v>
                </c:pt>
                <c:pt idx="3">
                  <c:v>26.904671112230162</c:v>
                </c:pt>
                <c:pt idx="4">
                  <c:v>19.71562957208652</c:v>
                </c:pt>
                <c:pt idx="5">
                  <c:v>12.526588031942886</c:v>
                </c:pt>
                <c:pt idx="6">
                  <c:v>5.7375464917992511</c:v>
                </c:pt>
                <c:pt idx="7">
                  <c:v>-0.25149504834438341</c:v>
                </c:pt>
                <c:pt idx="8">
                  <c:v>-5.4405365884880297</c:v>
                </c:pt>
                <c:pt idx="9">
                  <c:v>-9.8295781286316632</c:v>
                </c:pt>
                <c:pt idx="10">
                  <c:v>-13.4186196687753</c:v>
                </c:pt>
                <c:pt idx="11">
                  <c:v>-16.207661208918942</c:v>
                </c:pt>
                <c:pt idx="12">
                  <c:v>-18.19670274906257</c:v>
                </c:pt>
                <c:pt idx="13">
                  <c:v>-19.385744289206212</c:v>
                </c:pt>
                <c:pt idx="14">
                  <c:v>-19.774785829349845</c:v>
                </c:pt>
                <c:pt idx="15">
                  <c:v>-19.363827369493485</c:v>
                </c:pt>
                <c:pt idx="16">
                  <c:v>-16.152868909637135</c:v>
                </c:pt>
                <c:pt idx="17">
                  <c:v>-12.141910449780767</c:v>
                </c:pt>
                <c:pt idx="18">
                  <c:v>-7.3309519899244009</c:v>
                </c:pt>
                <c:pt idx="19">
                  <c:v>-1.719993530068038</c:v>
                </c:pt>
                <c:pt idx="20">
                  <c:v>4.690964929788322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EF-4221-8B3A-7CEB2EF2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01968"/>
        <c:axId val="1293102384"/>
      </c:scatterChart>
      <c:valAx>
        <c:axId val="12931019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 w="381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102384"/>
        <c:crosses val="autoZero"/>
        <c:crossBetween val="midCat"/>
      </c:valAx>
      <c:valAx>
        <c:axId val="129310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10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'Internal forces'!$B$2</c:f>
              <c:strCache>
                <c:ptCount val="1"/>
                <c:pt idx="0">
                  <c:v>N(x)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forces'!$L$4:$L$24</c:f>
              <c:numCache>
                <c:formatCode>0.0</c:formatCode>
                <c:ptCount val="21"/>
                <c:pt idx="0">
                  <c:v>-61.920115354092715</c:v>
                </c:pt>
                <c:pt idx="1">
                  <c:v>-61.920115354092715</c:v>
                </c:pt>
                <c:pt idx="2">
                  <c:v>-61.920115354092715</c:v>
                </c:pt>
                <c:pt idx="3">
                  <c:v>-61.920115354092715</c:v>
                </c:pt>
                <c:pt idx="4">
                  <c:v>-61.920115354092715</c:v>
                </c:pt>
                <c:pt idx="5">
                  <c:v>-61.920115354092715</c:v>
                </c:pt>
                <c:pt idx="6">
                  <c:v>-61.920115354092715</c:v>
                </c:pt>
                <c:pt idx="7">
                  <c:v>-61.920115354092715</c:v>
                </c:pt>
                <c:pt idx="8">
                  <c:v>-61.920115354092715</c:v>
                </c:pt>
                <c:pt idx="9">
                  <c:v>-61.920115354092715</c:v>
                </c:pt>
                <c:pt idx="10">
                  <c:v>-61.920115354092715</c:v>
                </c:pt>
                <c:pt idx="11">
                  <c:v>-61.920115354092715</c:v>
                </c:pt>
                <c:pt idx="12">
                  <c:v>-61.920115354092715</c:v>
                </c:pt>
                <c:pt idx="13">
                  <c:v>-61.920115354092715</c:v>
                </c:pt>
                <c:pt idx="14">
                  <c:v>-61.920115354092715</c:v>
                </c:pt>
                <c:pt idx="15">
                  <c:v>-61.920115354092715</c:v>
                </c:pt>
                <c:pt idx="16">
                  <c:v>-61.920115354092715</c:v>
                </c:pt>
                <c:pt idx="17">
                  <c:v>-61.920115354092715</c:v>
                </c:pt>
                <c:pt idx="18">
                  <c:v>-61.920115354092715</c:v>
                </c:pt>
                <c:pt idx="19">
                  <c:v>-61.920115354092715</c:v>
                </c:pt>
                <c:pt idx="20">
                  <c:v>-61.920115354092715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4-4672-9467-FD4F0E870735}"/>
            </c:ext>
          </c:extLst>
        </c:ser>
        <c:ser>
          <c:idx val="1"/>
          <c:order val="1"/>
          <c:tx>
            <c:strRef>
              <c:f>'Internal forces'!$E$2</c:f>
              <c:strCache>
                <c:ptCount val="1"/>
                <c:pt idx="0">
                  <c:v>V(x)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forces'!$O$4:$O$24</c:f>
              <c:numCache>
                <c:formatCode>0.0</c:formatCode>
                <c:ptCount val="21"/>
                <c:pt idx="0">
                  <c:v>94.054792299281814</c:v>
                </c:pt>
                <c:pt idx="1">
                  <c:v>94.054792299281814</c:v>
                </c:pt>
                <c:pt idx="2">
                  <c:v>94.054792299281814</c:v>
                </c:pt>
                <c:pt idx="3">
                  <c:v>94.054792299281814</c:v>
                </c:pt>
                <c:pt idx="4">
                  <c:v>64.054792299281814</c:v>
                </c:pt>
                <c:pt idx="5">
                  <c:v>64.054792299281814</c:v>
                </c:pt>
                <c:pt idx="6">
                  <c:v>64.054792299281814</c:v>
                </c:pt>
                <c:pt idx="7">
                  <c:v>63.054792299281814</c:v>
                </c:pt>
                <c:pt idx="8">
                  <c:v>60.054792299281814</c:v>
                </c:pt>
                <c:pt idx="9">
                  <c:v>57.054792299281814</c:v>
                </c:pt>
                <c:pt idx="10">
                  <c:v>54.054792299281814</c:v>
                </c:pt>
                <c:pt idx="11">
                  <c:v>51.054792299281814</c:v>
                </c:pt>
                <c:pt idx="12">
                  <c:v>48.054792299281814</c:v>
                </c:pt>
                <c:pt idx="13">
                  <c:v>45.054792299281814</c:v>
                </c:pt>
                <c:pt idx="14">
                  <c:v>42.054792299281821</c:v>
                </c:pt>
                <c:pt idx="15">
                  <c:v>39.054792299281814</c:v>
                </c:pt>
                <c:pt idx="16">
                  <c:v>36.054792299281807</c:v>
                </c:pt>
                <c:pt idx="17">
                  <c:v>34.054792299281814</c:v>
                </c:pt>
                <c:pt idx="18">
                  <c:v>34.054792299281814</c:v>
                </c:pt>
                <c:pt idx="19">
                  <c:v>34.054792299281814</c:v>
                </c:pt>
                <c:pt idx="20">
                  <c:v>34.054792299281814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4-4672-9467-FD4F0E870735}"/>
            </c:ext>
          </c:extLst>
        </c:ser>
        <c:ser>
          <c:idx val="2"/>
          <c:order val="2"/>
          <c:tx>
            <c:strRef>
              <c:f>'Internal forces'!$H$2</c:f>
              <c:strCache>
                <c:ptCount val="1"/>
                <c:pt idx="0">
                  <c:v>M(x)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forces'!$S$4:$S$24</c:f>
              <c:numCache>
                <c:formatCode>0.0</c:formatCode>
                <c:ptCount val="21"/>
                <c:pt idx="0">
                  <c:v>107.62283519759355</c:v>
                </c:pt>
                <c:pt idx="1">
                  <c:v>93.514616352701267</c:v>
                </c:pt>
                <c:pt idx="2">
                  <c:v>79.406397507809004</c:v>
                </c:pt>
                <c:pt idx="3">
                  <c:v>65.298178662916726</c:v>
                </c:pt>
                <c:pt idx="4">
                  <c:v>54.189959818024462</c:v>
                </c:pt>
                <c:pt idx="5">
                  <c:v>44.581740973132185</c:v>
                </c:pt>
                <c:pt idx="6">
                  <c:v>34.973522128239907</c:v>
                </c:pt>
                <c:pt idx="7">
                  <c:v>25.390303283347635</c:v>
                </c:pt>
                <c:pt idx="8">
                  <c:v>16.157084438455389</c:v>
                </c:pt>
                <c:pt idx="9">
                  <c:v>7.3738655935630915</c:v>
                </c:pt>
                <c:pt idx="10">
                  <c:v>-0.95935325132917626</c:v>
                </c:pt>
                <c:pt idx="11">
                  <c:v>-8.8425720962214598</c:v>
                </c:pt>
                <c:pt idx="12">
                  <c:v>-16.27579094111374</c:v>
                </c:pt>
                <c:pt idx="13">
                  <c:v>-23.259009786005986</c:v>
                </c:pt>
                <c:pt idx="14">
                  <c:v>-29.792228630898279</c:v>
                </c:pt>
                <c:pt idx="15">
                  <c:v>-35.875447475790551</c:v>
                </c:pt>
                <c:pt idx="16">
                  <c:v>-41.508666320682764</c:v>
                </c:pt>
                <c:pt idx="17">
                  <c:v>-46.7168851655751</c:v>
                </c:pt>
                <c:pt idx="18">
                  <c:v>-51.825104010467378</c:v>
                </c:pt>
                <c:pt idx="19">
                  <c:v>-56.933322855359648</c:v>
                </c:pt>
                <c:pt idx="20">
                  <c:v>-62.041541700251912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4-4672-9467-FD4F0E87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01968"/>
        <c:axId val="1293102384"/>
      </c:scatterChart>
      <c:valAx>
        <c:axId val="12931019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 w="381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102384"/>
        <c:crosses val="autoZero"/>
        <c:crossBetween val="midCat"/>
      </c:valAx>
      <c:valAx>
        <c:axId val="129310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10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'Internal forces'!$B$2</c:f>
              <c:strCache>
                <c:ptCount val="1"/>
                <c:pt idx="0">
                  <c:v>N(x)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forces'!$V$4:$V$24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97-4AFA-B6EC-498088D4E9E9}"/>
            </c:ext>
          </c:extLst>
        </c:ser>
        <c:ser>
          <c:idx val="1"/>
          <c:order val="1"/>
          <c:tx>
            <c:strRef>
              <c:f>'Internal forces'!$E$2</c:f>
              <c:strCache>
                <c:ptCount val="1"/>
                <c:pt idx="0">
                  <c:v>V(x)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forces'!$Y$4:$Y$24</c:f>
              <c:numCache>
                <c:formatCode>0.0</c:formatCode>
                <c:ptCount val="21"/>
                <c:pt idx="0">
                  <c:v>0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-2.5000000000000004</c:v>
                </c:pt>
                <c:pt idx="12">
                  <c:v>-3</c:v>
                </c:pt>
                <c:pt idx="13">
                  <c:v>-3.5</c:v>
                </c:pt>
                <c:pt idx="14">
                  <c:v>-3.9999999999999996</c:v>
                </c:pt>
                <c:pt idx="15">
                  <c:v>-4.5</c:v>
                </c:pt>
                <c:pt idx="16">
                  <c:v>-5</c:v>
                </c:pt>
                <c:pt idx="17">
                  <c:v>-5.5</c:v>
                </c:pt>
                <c:pt idx="18">
                  <c:v>-6</c:v>
                </c:pt>
                <c:pt idx="19">
                  <c:v>-6.5</c:v>
                </c:pt>
                <c:pt idx="20">
                  <c:v>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97-4AFA-B6EC-498088D4E9E9}"/>
            </c:ext>
          </c:extLst>
        </c:ser>
        <c:ser>
          <c:idx val="2"/>
          <c:order val="2"/>
          <c:tx>
            <c:strRef>
              <c:f>'Internal forces'!$H$2</c:f>
              <c:strCache>
                <c:ptCount val="1"/>
                <c:pt idx="0">
                  <c:v>M(x)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forces'!$AC$4:$AC$24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2.2250000000000001</c:v>
                </c:pt>
                <c:pt idx="12">
                  <c:v>2.5</c:v>
                </c:pt>
                <c:pt idx="13">
                  <c:v>2.8250000000000002</c:v>
                </c:pt>
                <c:pt idx="14">
                  <c:v>3.1999999999999997</c:v>
                </c:pt>
                <c:pt idx="15">
                  <c:v>3.625</c:v>
                </c:pt>
                <c:pt idx="16">
                  <c:v>4.1000000000000005</c:v>
                </c:pt>
                <c:pt idx="17">
                  <c:v>4.625</c:v>
                </c:pt>
                <c:pt idx="18">
                  <c:v>5.2</c:v>
                </c:pt>
                <c:pt idx="19">
                  <c:v>5.8249999999999993</c:v>
                </c:pt>
                <c:pt idx="20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97-4AFA-B6EC-498088D4E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01968"/>
        <c:axId val="1293102384"/>
      </c:scatterChart>
      <c:valAx>
        <c:axId val="12931019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 w="381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102384"/>
        <c:crosses val="autoZero"/>
        <c:crossBetween val="midCat"/>
      </c:valAx>
      <c:valAx>
        <c:axId val="129310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10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'Internal forces'!$B$2</c:f>
              <c:strCache>
                <c:ptCount val="1"/>
                <c:pt idx="0">
                  <c:v>N(x)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forces'!$AF$4:$AF$24</c:f>
              <c:numCache>
                <c:formatCode>0.0</c:formatCode>
                <c:ptCount val="21"/>
                <c:pt idx="0">
                  <c:v>-34.054792299281814</c:v>
                </c:pt>
                <c:pt idx="1">
                  <c:v>-34.054792299281814</c:v>
                </c:pt>
                <c:pt idx="2">
                  <c:v>-34.054792299281814</c:v>
                </c:pt>
                <c:pt idx="3">
                  <c:v>-34.054792299281814</c:v>
                </c:pt>
                <c:pt idx="4">
                  <c:v>-34.054792299281814</c:v>
                </c:pt>
                <c:pt idx="5">
                  <c:v>-34.054792299281814</c:v>
                </c:pt>
                <c:pt idx="6">
                  <c:v>-34.054792299281814</c:v>
                </c:pt>
                <c:pt idx="7">
                  <c:v>-34.054792299281814</c:v>
                </c:pt>
                <c:pt idx="8">
                  <c:v>-34.054792299281814</c:v>
                </c:pt>
                <c:pt idx="9">
                  <c:v>-34.054792299281814</c:v>
                </c:pt>
                <c:pt idx="10">
                  <c:v>-34.054792299281814</c:v>
                </c:pt>
                <c:pt idx="11">
                  <c:v>-34.054792299281814</c:v>
                </c:pt>
                <c:pt idx="12">
                  <c:v>-34.054792299281814</c:v>
                </c:pt>
                <c:pt idx="13">
                  <c:v>-34.054792299281814</c:v>
                </c:pt>
                <c:pt idx="14">
                  <c:v>-34.054792299281814</c:v>
                </c:pt>
                <c:pt idx="15">
                  <c:v>-34.054792299281814</c:v>
                </c:pt>
                <c:pt idx="16">
                  <c:v>-34.054792299281814</c:v>
                </c:pt>
                <c:pt idx="17">
                  <c:v>-34.054792299281814</c:v>
                </c:pt>
                <c:pt idx="18">
                  <c:v>-34.054792299281814</c:v>
                </c:pt>
                <c:pt idx="19">
                  <c:v>-34.054792299281814</c:v>
                </c:pt>
                <c:pt idx="20">
                  <c:v>-34.054792299281814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83-4BAF-B3F0-49ECB6980AD3}"/>
            </c:ext>
          </c:extLst>
        </c:ser>
        <c:ser>
          <c:idx val="1"/>
          <c:order val="1"/>
          <c:tx>
            <c:strRef>
              <c:f>'Internal forces'!$E$2</c:f>
              <c:strCache>
                <c:ptCount val="1"/>
                <c:pt idx="0">
                  <c:v>V(x)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forces'!$AI$4:$AI$24</c:f>
              <c:numCache>
                <c:formatCode>0.0</c:formatCode>
                <c:ptCount val="21"/>
                <c:pt idx="0">
                  <c:v>23.079884645907285</c:v>
                </c:pt>
                <c:pt idx="1">
                  <c:v>23.079884645907285</c:v>
                </c:pt>
                <c:pt idx="2">
                  <c:v>23.079884645907285</c:v>
                </c:pt>
                <c:pt idx="3">
                  <c:v>23.079884645907285</c:v>
                </c:pt>
                <c:pt idx="4">
                  <c:v>23.079884645907285</c:v>
                </c:pt>
                <c:pt idx="5">
                  <c:v>19.329884645907285</c:v>
                </c:pt>
                <c:pt idx="6">
                  <c:v>15.579884645907285</c:v>
                </c:pt>
                <c:pt idx="7">
                  <c:v>-8.1701153540927152</c:v>
                </c:pt>
                <c:pt idx="8">
                  <c:v>-11.920115354092715</c:v>
                </c:pt>
                <c:pt idx="9">
                  <c:v>-15.670115354092715</c:v>
                </c:pt>
                <c:pt idx="10">
                  <c:v>-19.420115354092715</c:v>
                </c:pt>
                <c:pt idx="11">
                  <c:v>-23.170115354092715</c:v>
                </c:pt>
                <c:pt idx="12">
                  <c:v>-26.920115354092715</c:v>
                </c:pt>
                <c:pt idx="13">
                  <c:v>-30.670115354092715</c:v>
                </c:pt>
                <c:pt idx="14">
                  <c:v>-34.420115354092715</c:v>
                </c:pt>
                <c:pt idx="15">
                  <c:v>-38.170115354092715</c:v>
                </c:pt>
                <c:pt idx="16">
                  <c:v>-41.920115354092715</c:v>
                </c:pt>
                <c:pt idx="17">
                  <c:v>-41.920115354092715</c:v>
                </c:pt>
                <c:pt idx="18">
                  <c:v>-41.920115354092715</c:v>
                </c:pt>
                <c:pt idx="19">
                  <c:v>-41.920115354092715</c:v>
                </c:pt>
                <c:pt idx="20">
                  <c:v>-41.920115354092715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83-4BAF-B3F0-49ECB6980AD3}"/>
            </c:ext>
          </c:extLst>
        </c:ser>
        <c:ser>
          <c:idx val="2"/>
          <c:order val="2"/>
          <c:tx>
            <c:strRef>
              <c:f>'Internal forces'!$H$2</c:f>
              <c:strCache>
                <c:ptCount val="1"/>
                <c:pt idx="0">
                  <c:v>M(x)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forces'!$AM$4:$AM$24</c:f>
              <c:numCache>
                <c:formatCode>0.0</c:formatCode>
                <c:ptCount val="21"/>
                <c:pt idx="0">
                  <c:v>11.190964929788311</c:v>
                </c:pt>
                <c:pt idx="1">
                  <c:v>5.4209937683114902</c:v>
                </c:pt>
                <c:pt idx="2">
                  <c:v>-0.34897739316533105</c:v>
                </c:pt>
                <c:pt idx="3">
                  <c:v>-6.1189485546421523</c:v>
                </c:pt>
                <c:pt idx="4">
                  <c:v>-11.888919716118973</c:v>
                </c:pt>
                <c:pt idx="5">
                  <c:v>-17.190140877595795</c:v>
                </c:pt>
                <c:pt idx="6">
                  <c:v>-21.553862039072616</c:v>
                </c:pt>
                <c:pt idx="7">
                  <c:v>-19.980083200549441</c:v>
                </c:pt>
                <c:pt idx="8">
                  <c:v>-17.468804362026262</c:v>
                </c:pt>
                <c:pt idx="9">
                  <c:v>-14.02002552350308</c:v>
                </c:pt>
                <c:pt idx="10">
                  <c:v>-9.6337466849798972</c:v>
                </c:pt>
                <c:pt idx="11">
                  <c:v>-4.309967846456729</c:v>
                </c:pt>
                <c:pt idx="12">
                  <c:v>1.9513109920664533</c:v>
                </c:pt>
                <c:pt idx="13">
                  <c:v>9.1500898305896357</c:v>
                </c:pt>
                <c:pt idx="14">
                  <c:v>17.286368669112804</c:v>
                </c:pt>
                <c:pt idx="15">
                  <c:v>26.360147507635986</c:v>
                </c:pt>
                <c:pt idx="16">
                  <c:v>36.371426346159168</c:v>
                </c:pt>
                <c:pt idx="17">
                  <c:v>46.851455184682351</c:v>
                </c:pt>
                <c:pt idx="18">
                  <c:v>57.331484023205533</c:v>
                </c:pt>
                <c:pt idx="19">
                  <c:v>67.811512861728701</c:v>
                </c:pt>
                <c:pt idx="20">
                  <c:v>78.291541700251884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83-4BAF-B3F0-49ECB6980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01968"/>
        <c:axId val="1293102384"/>
      </c:scatterChart>
      <c:valAx>
        <c:axId val="12931019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 w="381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102384"/>
        <c:crosses val="autoZero"/>
        <c:crossBetween val="midCat"/>
      </c:valAx>
      <c:valAx>
        <c:axId val="129310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10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'Internal forces'!$B$2</c:f>
              <c:strCache>
                <c:ptCount val="1"/>
                <c:pt idx="0">
                  <c:v>N(x)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forces'!$AP$4:$AP$24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C-4BF1-8532-03E3ED76D00F}"/>
            </c:ext>
          </c:extLst>
        </c:ser>
        <c:ser>
          <c:idx val="1"/>
          <c:order val="1"/>
          <c:tx>
            <c:strRef>
              <c:f>'Internal forces'!$E$2</c:f>
              <c:strCache>
                <c:ptCount val="1"/>
                <c:pt idx="0">
                  <c:v>V(x)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forces'!$AS$4:$AS$24</c:f>
              <c:numCache>
                <c:formatCode>0.0</c:formatCode>
                <c:ptCount val="2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3.9999999999999991</c:v>
                </c:pt>
                <c:pt idx="17">
                  <c:v>3.0000000000000004</c:v>
                </c:pt>
                <c:pt idx="18">
                  <c:v>1.9999999999999996</c:v>
                </c:pt>
                <c:pt idx="19">
                  <c:v>1.0000000000000009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C-4BF1-8532-03E3ED76D00F}"/>
            </c:ext>
          </c:extLst>
        </c:ser>
        <c:ser>
          <c:idx val="2"/>
          <c:order val="2"/>
          <c:tx>
            <c:strRef>
              <c:f>'Internal forces'!$H$2</c:f>
              <c:strCache>
                <c:ptCount val="1"/>
                <c:pt idx="0">
                  <c:v>M(x)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'Internal forces'!$A$4:$A$24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'Internal forces'!$AW$4:$AW$24</c:f>
              <c:numCache>
                <c:formatCode>0.0</c:formatCode>
                <c:ptCount val="21"/>
                <c:pt idx="0">
                  <c:v>16.25</c:v>
                </c:pt>
                <c:pt idx="1">
                  <c:v>14.25</c:v>
                </c:pt>
                <c:pt idx="2">
                  <c:v>12.25</c:v>
                </c:pt>
                <c:pt idx="3">
                  <c:v>10.25</c:v>
                </c:pt>
                <c:pt idx="4">
                  <c:v>8.25</c:v>
                </c:pt>
                <c:pt idx="5">
                  <c:v>6.25</c:v>
                </c:pt>
                <c:pt idx="6">
                  <c:v>5.75</c:v>
                </c:pt>
                <c:pt idx="7">
                  <c:v>5.2499999999999991</c:v>
                </c:pt>
                <c:pt idx="8">
                  <c:v>4.7500000000000009</c:v>
                </c:pt>
                <c:pt idx="9">
                  <c:v>4.25</c:v>
                </c:pt>
                <c:pt idx="10">
                  <c:v>3.75</c:v>
                </c:pt>
                <c:pt idx="11">
                  <c:v>3.2500000000000018</c:v>
                </c:pt>
                <c:pt idx="12">
                  <c:v>2.75</c:v>
                </c:pt>
                <c:pt idx="13">
                  <c:v>2.25</c:v>
                </c:pt>
                <c:pt idx="14">
                  <c:v>1.7499999999999982</c:v>
                </c:pt>
                <c:pt idx="15">
                  <c:v>1.25</c:v>
                </c:pt>
                <c:pt idx="16">
                  <c:v>0.8</c:v>
                </c:pt>
                <c:pt idx="17">
                  <c:v>0.4499999999999999</c:v>
                </c:pt>
                <c:pt idx="18">
                  <c:v>0.20000000000000012</c:v>
                </c:pt>
                <c:pt idx="19">
                  <c:v>4.99999999999996E-2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EC-4BF1-8532-03E3ED76D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101968"/>
        <c:axId val="1293102384"/>
      </c:scatterChart>
      <c:valAx>
        <c:axId val="12931019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102384"/>
        <c:crosses val="autoZero"/>
        <c:crossBetween val="midCat"/>
      </c:valAx>
      <c:valAx>
        <c:axId val="129310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10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9</xdr:col>
      <xdr:colOff>0</xdr:colOff>
      <xdr:row>39</xdr:row>
      <xdr:rowOff>121023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4E950EF-A31A-4A71-9C39-182B0E6AA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0</xdr:colOff>
      <xdr:row>39</xdr:row>
      <xdr:rowOff>121023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45FF41D-5538-4F95-A335-9309678A5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26</xdr:row>
      <xdr:rowOff>0</xdr:rowOff>
    </xdr:from>
    <xdr:to>
      <xdr:col>29</xdr:col>
      <xdr:colOff>0</xdr:colOff>
      <xdr:row>39</xdr:row>
      <xdr:rowOff>121023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FBCBB9A-4DAB-4EB8-BB0F-1ED120932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26</xdr:row>
      <xdr:rowOff>0</xdr:rowOff>
    </xdr:from>
    <xdr:to>
      <xdr:col>39</xdr:col>
      <xdr:colOff>1</xdr:colOff>
      <xdr:row>39</xdr:row>
      <xdr:rowOff>121023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1EC04B8-CF88-4700-A3B4-1CA04B4AB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0</xdr:colOff>
      <xdr:row>26</xdr:row>
      <xdr:rowOff>0</xdr:rowOff>
    </xdr:from>
    <xdr:to>
      <xdr:col>49</xdr:col>
      <xdr:colOff>1</xdr:colOff>
      <xdr:row>39</xdr:row>
      <xdr:rowOff>121023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2CDF7E2-7D95-4291-975F-F8DC0BDB8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tabSelected="1" zoomScale="85" zoomScaleNormal="85" workbookViewId="0">
      <selection activeCell="AN14" sqref="AN14"/>
    </sheetView>
  </sheetViews>
  <sheetFormatPr baseColWidth="10" defaultColWidth="14.42578125" defaultRowHeight="15" customHeight="1" x14ac:dyDescent="0.25"/>
  <cols>
    <col min="1" max="1" width="4.85546875" customWidth="1"/>
    <col min="2" max="2" width="7" customWidth="1"/>
    <col min="3" max="3" width="8.7109375" customWidth="1"/>
    <col min="4" max="4" width="5.28515625" customWidth="1"/>
    <col min="5" max="5" width="6" customWidth="1"/>
    <col min="6" max="6" width="9.28515625" customWidth="1"/>
    <col min="7" max="7" width="6" customWidth="1"/>
    <col min="8" max="8" width="6.5703125" customWidth="1"/>
    <col min="9" max="9" width="11.85546875" customWidth="1"/>
    <col min="10" max="10" width="4.42578125" customWidth="1"/>
    <col min="11" max="11" width="5" customWidth="1"/>
    <col min="12" max="12" width="6.42578125" customWidth="1"/>
    <col min="13" max="13" width="6.28515625" customWidth="1"/>
    <col min="14" max="14" width="5.28515625" customWidth="1"/>
    <col min="15" max="15" width="5.140625" customWidth="1"/>
    <col min="16" max="16" width="4.42578125" customWidth="1"/>
    <col min="17" max="17" width="6.85546875" customWidth="1"/>
    <col min="18" max="18" width="7.7109375" customWidth="1"/>
    <col min="19" max="19" width="7" customWidth="1"/>
    <col min="20" max="20" width="6" customWidth="1"/>
    <col min="21" max="21" width="9.140625" customWidth="1"/>
    <col min="22" max="22" width="6" bestFit="1" customWidth="1"/>
    <col min="23" max="23" width="5.28515625" customWidth="1"/>
    <col min="24" max="24" width="4.140625" customWidth="1"/>
    <col min="25" max="25" width="4.7109375" customWidth="1"/>
    <col min="26" max="26" width="5" customWidth="1"/>
    <col min="27" max="27" width="4" customWidth="1"/>
    <col min="28" max="29" width="4.140625" customWidth="1"/>
    <col min="30" max="30" width="3.85546875" customWidth="1"/>
    <col min="31" max="31" width="4.28515625" customWidth="1"/>
    <col min="32" max="32" width="4.42578125" customWidth="1"/>
    <col min="33" max="33" width="9.85546875" customWidth="1"/>
    <col min="34" max="34" width="6" customWidth="1"/>
    <col min="35" max="35" width="6" bestFit="1" customWidth="1"/>
    <col min="36" max="36" width="4.5703125" customWidth="1"/>
    <col min="37" max="37" width="5.28515625" customWidth="1"/>
    <col min="38" max="40" width="8" customWidth="1"/>
    <col min="41" max="41" width="6.7109375" customWidth="1"/>
    <col min="42" max="42" width="6.42578125" customWidth="1"/>
    <col min="43" max="43" width="7.42578125" customWidth="1"/>
  </cols>
  <sheetData>
    <row r="1" spans="1:43" x14ac:dyDescent="0.25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  <c r="K1" s="2" t="s">
        <v>2</v>
      </c>
      <c r="L1" s="1"/>
      <c r="M1" s="1"/>
      <c r="N1" s="1"/>
      <c r="O1" s="1"/>
      <c r="P1" s="2" t="s">
        <v>3</v>
      </c>
      <c r="Q1" s="1"/>
      <c r="R1" s="1"/>
      <c r="S1" s="1"/>
      <c r="T1" s="1"/>
      <c r="U1" s="1"/>
      <c r="V1" s="1"/>
      <c r="W1" s="1"/>
      <c r="X1" s="2" t="s">
        <v>4</v>
      </c>
      <c r="Y1" s="1"/>
      <c r="Z1" s="1"/>
      <c r="AA1" s="1"/>
      <c r="AB1" s="1"/>
      <c r="AC1" s="1"/>
      <c r="AD1" s="1"/>
      <c r="AE1" s="1"/>
      <c r="AF1" s="2" t="s">
        <v>5</v>
      </c>
      <c r="AG1" s="1"/>
      <c r="AH1" s="1"/>
      <c r="AI1" s="1"/>
      <c r="AJ1" s="1"/>
      <c r="AK1" s="2" t="s">
        <v>6</v>
      </c>
      <c r="AL1" s="1"/>
      <c r="AM1" s="1"/>
      <c r="AN1" s="1"/>
      <c r="AO1" s="1"/>
      <c r="AP1" s="1"/>
      <c r="AQ1" s="1"/>
    </row>
    <row r="2" spans="1:43" x14ac:dyDescent="0.25">
      <c r="A2" s="3" t="s">
        <v>7</v>
      </c>
      <c r="B2" s="4" t="s">
        <v>8</v>
      </c>
      <c r="C2" s="5">
        <v>4</v>
      </c>
      <c r="E2" s="6" t="s">
        <v>9</v>
      </c>
      <c r="F2" s="7" t="s">
        <v>10</v>
      </c>
      <c r="G2" s="8">
        <v>28000</v>
      </c>
      <c r="K2" s="9" t="s">
        <v>11</v>
      </c>
      <c r="L2" s="10" t="s">
        <v>12</v>
      </c>
      <c r="M2" s="10" t="s">
        <v>13</v>
      </c>
      <c r="N2" s="10" t="s">
        <v>14</v>
      </c>
      <c r="P2" s="9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X2" s="9" t="s">
        <v>22</v>
      </c>
      <c r="Y2" s="10" t="str">
        <f t="array" ref="Y2:AD2">TRANSPOSE(K3:K8)</f>
        <v>ϕ1f</v>
      </c>
      <c r="Z2" s="10" t="str">
        <v>δ1f</v>
      </c>
      <c r="AA2" s="10" t="str">
        <v>ϕ4i</v>
      </c>
      <c r="AB2" s="10" t="str">
        <v>ϕ4f</v>
      </c>
      <c r="AC2" s="10" t="str">
        <v>ϕ2f</v>
      </c>
      <c r="AD2" s="10" t="str">
        <v>δ2f</v>
      </c>
      <c r="AF2" s="9" t="s">
        <v>23</v>
      </c>
      <c r="AG2" s="10" t="str">
        <f t="shared" ref="AG2:AI2" si="0">L2</f>
        <v>θD</v>
      </c>
      <c r="AH2" s="10" t="str">
        <f t="shared" si="0"/>
        <v>θE</v>
      </c>
      <c r="AI2" s="10" t="str">
        <f t="shared" si="0"/>
        <v>Δ</v>
      </c>
      <c r="AK2" s="9" t="s">
        <v>24</v>
      </c>
      <c r="AL2" s="10" t="str">
        <f t="array" ref="AL2:AN2">TRANSPOSE(AF3:AF5)</f>
        <v>MD</v>
      </c>
      <c r="AM2" s="10" t="str">
        <v>ME</v>
      </c>
      <c r="AN2" s="10" t="str">
        <v>V</v>
      </c>
    </row>
    <row r="3" spans="1:43" x14ac:dyDescent="0.25">
      <c r="A3" s="11" t="s">
        <v>27</v>
      </c>
      <c r="B3" s="1" t="s">
        <v>8</v>
      </c>
      <c r="C3" s="12">
        <v>3</v>
      </c>
      <c r="E3" s="13" t="s">
        <v>28</v>
      </c>
      <c r="K3" s="10" t="s">
        <v>16</v>
      </c>
      <c r="L3" s="14">
        <v>1</v>
      </c>
      <c r="M3" s="14">
        <v>0</v>
      </c>
      <c r="N3" s="14">
        <v>0</v>
      </c>
      <c r="P3" s="10" t="s">
        <v>29</v>
      </c>
      <c r="Q3" s="15">
        <f>$G$12/C2*IF(F4=aux!A3,aux!B3,IF(F4=aux!A4,aux!B4,aux!B5))</f>
        <v>9114.5833333333321</v>
      </c>
      <c r="R3" s="15">
        <f>Q4</f>
        <v>3417.9687499999995</v>
      </c>
      <c r="S3" s="15">
        <v>0</v>
      </c>
      <c r="T3" s="15">
        <v>0</v>
      </c>
      <c r="U3" s="15">
        <v>0</v>
      </c>
      <c r="V3" s="15">
        <v>0</v>
      </c>
      <c r="X3" s="10" t="str">
        <f t="array" ref="X3:AD5">TRANSPOSE(L2:N8)</f>
        <v>θD</v>
      </c>
      <c r="Y3" s="14">
        <v>1</v>
      </c>
      <c r="Z3" s="14">
        <v>0</v>
      </c>
      <c r="AA3" s="14">
        <v>1</v>
      </c>
      <c r="AB3" s="14">
        <v>0</v>
      </c>
      <c r="AC3" s="14">
        <v>0</v>
      </c>
      <c r="AD3" s="14">
        <v>0</v>
      </c>
      <c r="AF3" s="10" t="s">
        <v>30</v>
      </c>
      <c r="AG3" s="15">
        <f t="array" ref="AG3:AI5">MMULT(Y3:AD5,MMULT(Q3:V8,L3:N8))</f>
        <v>51639.583333333328</v>
      </c>
      <c r="AH3" s="15">
        <v>21262.5</v>
      </c>
      <c r="AI3" s="15">
        <v>3417.9687499999995</v>
      </c>
      <c r="AK3" s="10" t="str">
        <f t="array" ref="AK3:AK5">TRANSPOSE(AG2:AI2)</f>
        <v>θD</v>
      </c>
      <c r="AL3" s="16">
        <f t="array" ref="AL3:AN5">MINVERSE(AG3:AI5)</f>
        <v>2.2258383538584406E-5</v>
      </c>
      <c r="AM3" s="16">
        <v>-7.2749388473480988E-6</v>
      </c>
      <c r="AN3" s="16">
        <v>1.5417740831348497E-6</v>
      </c>
    </row>
    <row r="4" spans="1:43" x14ac:dyDescent="0.25">
      <c r="A4" s="11" t="s">
        <v>31</v>
      </c>
      <c r="B4" s="1" t="s">
        <v>8</v>
      </c>
      <c r="C4" s="12">
        <v>2</v>
      </c>
      <c r="E4" s="3" t="s">
        <v>32</v>
      </c>
      <c r="F4" s="17" t="s">
        <v>33</v>
      </c>
      <c r="K4" s="10" t="s">
        <v>17</v>
      </c>
      <c r="L4" s="14">
        <v>0</v>
      </c>
      <c r="M4" s="14">
        <v>0</v>
      </c>
      <c r="N4" s="14">
        <v>1</v>
      </c>
      <c r="P4" s="10" t="s">
        <v>34</v>
      </c>
      <c r="Q4" s="15">
        <f>$G$12/C2^2*IF(F4=aux!A3,aux!E3,IF(F4=aux!A4,aux!E4,aux!E5))</f>
        <v>3417.9687499999995</v>
      </c>
      <c r="R4" s="15">
        <f>$G$12/C2^3*IF(F4=aux!A3,aux!D3,IF(F4=aux!A4,aux!D4,aux!D5))</f>
        <v>1708.9843749999998</v>
      </c>
      <c r="S4" s="15">
        <v>0</v>
      </c>
      <c r="T4" s="15">
        <v>0</v>
      </c>
      <c r="U4" s="15">
        <v>0</v>
      </c>
      <c r="V4" s="15">
        <v>0</v>
      </c>
      <c r="X4" s="10" t="str">
        <v>θE</v>
      </c>
      <c r="Y4" s="14">
        <v>0</v>
      </c>
      <c r="Z4" s="14">
        <v>0</v>
      </c>
      <c r="AA4" s="14">
        <v>0</v>
      </c>
      <c r="AB4" s="14">
        <v>1</v>
      </c>
      <c r="AC4" s="14">
        <v>1</v>
      </c>
      <c r="AD4" s="14">
        <v>0</v>
      </c>
      <c r="AF4" s="10" t="s">
        <v>25</v>
      </c>
      <c r="AG4" s="15">
        <v>21262.5</v>
      </c>
      <c r="AH4" s="15">
        <v>67725</v>
      </c>
      <c r="AI4" s="15">
        <v>12600</v>
      </c>
      <c r="AK4" s="10" t="str">
        <v>θE</v>
      </c>
      <c r="AL4" s="16">
        <v>-7.2749388473480979E-6</v>
      </c>
      <c r="AM4" s="16">
        <v>2.1601061030324439E-5</v>
      </c>
      <c r="AN4" s="16">
        <v>-2.4464164368014579E-5</v>
      </c>
    </row>
    <row r="5" spans="1:43" x14ac:dyDescent="0.25">
      <c r="A5" s="11" t="s">
        <v>35</v>
      </c>
      <c r="B5" s="1" t="s">
        <v>8</v>
      </c>
      <c r="C5" s="12">
        <v>5</v>
      </c>
      <c r="E5" s="18" t="s">
        <v>36</v>
      </c>
      <c r="F5" s="19" t="s">
        <v>33</v>
      </c>
      <c r="K5" s="10" t="s">
        <v>18</v>
      </c>
      <c r="L5" s="14">
        <v>1</v>
      </c>
      <c r="M5" s="14">
        <v>0</v>
      </c>
      <c r="N5" s="14">
        <v>0</v>
      </c>
      <c r="P5" s="10" t="s">
        <v>37</v>
      </c>
      <c r="Q5" s="15">
        <v>0</v>
      </c>
      <c r="R5" s="15">
        <v>0</v>
      </c>
      <c r="S5" s="15">
        <f>aux!B3*G15/C5</f>
        <v>42525</v>
      </c>
      <c r="T5" s="15">
        <f>S6</f>
        <v>21262.5</v>
      </c>
      <c r="U5" s="15">
        <v>0</v>
      </c>
      <c r="V5" s="15">
        <v>0</v>
      </c>
      <c r="X5" s="10" t="str">
        <v>Δ</v>
      </c>
      <c r="Y5" s="14">
        <v>0</v>
      </c>
      <c r="Z5" s="14">
        <v>1</v>
      </c>
      <c r="AA5" s="14">
        <v>0</v>
      </c>
      <c r="AB5" s="14">
        <v>0</v>
      </c>
      <c r="AC5" s="14">
        <v>0</v>
      </c>
      <c r="AD5" s="14">
        <v>1</v>
      </c>
      <c r="AF5" s="10" t="s">
        <v>26</v>
      </c>
      <c r="AG5" s="15">
        <v>3417.9687499999995</v>
      </c>
      <c r="AH5" s="15">
        <v>12600</v>
      </c>
      <c r="AI5" s="15">
        <v>10108.984375</v>
      </c>
      <c r="AK5" s="10" t="str">
        <v>Δ</v>
      </c>
      <c r="AL5" s="16">
        <v>1.5417740831348475E-6</v>
      </c>
      <c r="AM5" s="16">
        <v>-2.4464164368014579E-5</v>
      </c>
      <c r="AN5" s="16">
        <v>1.2889313971278831E-4</v>
      </c>
    </row>
    <row r="6" spans="1:43" x14ac:dyDescent="0.25">
      <c r="A6" s="11" t="s">
        <v>38</v>
      </c>
      <c r="B6" s="1" t="s">
        <v>8</v>
      </c>
      <c r="C6" s="12">
        <v>2</v>
      </c>
      <c r="K6" s="10" t="s">
        <v>19</v>
      </c>
      <c r="L6" s="14">
        <v>0</v>
      </c>
      <c r="M6" s="14">
        <v>1</v>
      </c>
      <c r="N6" s="14">
        <v>0</v>
      </c>
      <c r="P6" s="10" t="s">
        <v>39</v>
      </c>
      <c r="Q6" s="15">
        <v>0</v>
      </c>
      <c r="R6" s="15">
        <v>0</v>
      </c>
      <c r="S6" s="15">
        <f>aux!C3*G15/C5</f>
        <v>21262.5</v>
      </c>
      <c r="T6" s="15">
        <f>S5</f>
        <v>42525</v>
      </c>
      <c r="U6" s="15">
        <v>0</v>
      </c>
      <c r="V6" s="15">
        <v>0</v>
      </c>
    </row>
    <row r="7" spans="1:43" x14ac:dyDescent="0.25">
      <c r="A7" s="11" t="s">
        <v>40</v>
      </c>
      <c r="B7" s="1" t="s">
        <v>41</v>
      </c>
      <c r="C7" s="20">
        <v>250</v>
      </c>
      <c r="D7" s="3" t="s">
        <v>42</v>
      </c>
      <c r="E7" s="4" t="s">
        <v>41</v>
      </c>
      <c r="F7" s="21">
        <v>250</v>
      </c>
      <c r="G7" s="22"/>
      <c r="K7" s="10" t="s">
        <v>20</v>
      </c>
      <c r="L7" s="14">
        <v>0</v>
      </c>
      <c r="M7" s="14">
        <v>1</v>
      </c>
      <c r="N7" s="14">
        <v>0</v>
      </c>
      <c r="P7" s="10" t="s">
        <v>43</v>
      </c>
      <c r="Q7" s="15">
        <v>0</v>
      </c>
      <c r="R7" s="15">
        <v>0</v>
      </c>
      <c r="S7" s="15">
        <v>0</v>
      </c>
      <c r="T7" s="15">
        <v>0</v>
      </c>
      <c r="U7" s="15">
        <f>$G$13/C3*IF(F5=aux!A3,aux!B3,IF(F5=aux!A4,aux!B4,aux!B5))</f>
        <v>25200</v>
      </c>
      <c r="V7" s="15">
        <f>U8</f>
        <v>12600</v>
      </c>
    </row>
    <row r="8" spans="1:43" x14ac:dyDescent="0.25">
      <c r="A8" s="11" t="s">
        <v>44</v>
      </c>
      <c r="B8" s="1" t="s">
        <v>41</v>
      </c>
      <c r="C8" s="20">
        <v>300</v>
      </c>
      <c r="D8" s="11" t="s">
        <v>45</v>
      </c>
      <c r="E8" s="1" t="s">
        <v>41</v>
      </c>
      <c r="F8" s="20">
        <v>300</v>
      </c>
      <c r="G8" s="22"/>
      <c r="K8" s="10" t="s">
        <v>21</v>
      </c>
      <c r="L8" s="14">
        <v>0</v>
      </c>
      <c r="M8" s="14">
        <v>0</v>
      </c>
      <c r="N8" s="14">
        <v>1</v>
      </c>
      <c r="P8" s="10" t="s">
        <v>46</v>
      </c>
      <c r="Q8" s="15">
        <v>0</v>
      </c>
      <c r="R8" s="15">
        <v>0</v>
      </c>
      <c r="S8" s="15">
        <v>0</v>
      </c>
      <c r="T8" s="15">
        <v>0</v>
      </c>
      <c r="U8" s="15">
        <f>$G$13/C3^2*IF(F5=aux!A3,aux!E3,IF(F5=aux!A4,aux!E4,aux!E5))</f>
        <v>12600</v>
      </c>
      <c r="V8" s="15">
        <f>$G$13/C3^3*IF(F5=aux!A3,aux!D3,IF(F5=aux!A4,aux!D4,aux!D5))</f>
        <v>8400</v>
      </c>
    </row>
    <row r="9" spans="1:43" x14ac:dyDescent="0.25">
      <c r="A9" s="11" t="s">
        <v>47</v>
      </c>
      <c r="B9" s="1" t="s">
        <v>41</v>
      </c>
      <c r="C9" s="20">
        <v>200</v>
      </c>
      <c r="D9" s="11" t="s">
        <v>48</v>
      </c>
      <c r="E9" s="1" t="s">
        <v>41</v>
      </c>
      <c r="F9" s="20">
        <v>350</v>
      </c>
      <c r="G9" s="2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 t="s">
        <v>49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A10" s="11" t="s">
        <v>50</v>
      </c>
      <c r="B10" s="1" t="s">
        <v>41</v>
      </c>
      <c r="C10" s="20">
        <v>250</v>
      </c>
      <c r="D10" s="11" t="s">
        <v>51</v>
      </c>
      <c r="E10" s="1" t="s">
        <v>41</v>
      </c>
      <c r="F10" s="20">
        <v>450</v>
      </c>
      <c r="G10" s="22"/>
      <c r="H10" s="1"/>
      <c r="I10" s="1"/>
      <c r="J10" s="1"/>
      <c r="K10" s="2" t="s">
        <v>52</v>
      </c>
      <c r="L10" s="1"/>
      <c r="M10" s="1"/>
      <c r="N10" s="1"/>
      <c r="O10" s="1"/>
      <c r="P10" s="2" t="s">
        <v>53</v>
      </c>
      <c r="Q10" s="1"/>
      <c r="R10" s="1"/>
      <c r="S10" s="1"/>
      <c r="T10" s="2" t="s">
        <v>54</v>
      </c>
      <c r="U10" s="1"/>
      <c r="V10" s="1"/>
      <c r="W10" s="1"/>
      <c r="X10" s="1"/>
      <c r="Y10" s="2" t="s">
        <v>55</v>
      </c>
      <c r="Z10" s="1"/>
      <c r="AA10" s="1"/>
      <c r="AB10" s="1"/>
      <c r="AC10" s="1"/>
      <c r="AD10" s="1"/>
      <c r="AE10" s="1"/>
      <c r="AF10" s="2" t="s">
        <v>56</v>
      </c>
      <c r="AG10" s="1"/>
      <c r="AH10" s="1"/>
      <c r="AI10" s="1"/>
      <c r="AJ10" s="1"/>
      <c r="AK10" s="2" t="s">
        <v>57</v>
      </c>
      <c r="AM10" s="1"/>
      <c r="AN10" s="1"/>
      <c r="AO10" s="1"/>
      <c r="AP10" s="1"/>
      <c r="AQ10" s="1"/>
    </row>
    <row r="11" spans="1:43" x14ac:dyDescent="0.25">
      <c r="A11" s="18" t="s">
        <v>58</v>
      </c>
      <c r="B11" s="23" t="s">
        <v>41</v>
      </c>
      <c r="C11" s="24">
        <v>150</v>
      </c>
      <c r="D11" s="18" t="s">
        <v>59</v>
      </c>
      <c r="E11" s="23" t="s">
        <v>41</v>
      </c>
      <c r="F11" s="24">
        <v>250</v>
      </c>
      <c r="G11" s="22"/>
      <c r="K11" s="10"/>
      <c r="L11" s="10" t="s">
        <v>60</v>
      </c>
      <c r="M11" s="10" t="s">
        <v>61</v>
      </c>
      <c r="N11" s="9" t="s">
        <v>62</v>
      </c>
      <c r="P11" s="10"/>
      <c r="Q11" s="9" t="s">
        <v>63</v>
      </c>
      <c r="T11" s="10"/>
      <c r="U11" s="9" t="s">
        <v>64</v>
      </c>
      <c r="Y11" s="10"/>
      <c r="Z11" s="9" t="s">
        <v>65</v>
      </c>
      <c r="AF11" s="10"/>
      <c r="AG11" s="9" t="s">
        <v>66</v>
      </c>
      <c r="AK11" s="10"/>
      <c r="AL11" s="10" t="s">
        <v>67</v>
      </c>
      <c r="AM11" s="10" t="s">
        <v>68</v>
      </c>
      <c r="AN11" s="10" t="s">
        <v>69</v>
      </c>
      <c r="AO11" s="10" t="s">
        <v>70</v>
      </c>
      <c r="AP11" s="10" t="s">
        <v>71</v>
      </c>
      <c r="AQ11" s="10" t="s">
        <v>72</v>
      </c>
    </row>
    <row r="12" spans="1:43" x14ac:dyDescent="0.25">
      <c r="A12" s="13" t="s">
        <v>73</v>
      </c>
      <c r="B12" s="13" t="s">
        <v>74</v>
      </c>
      <c r="C12" s="25">
        <f t="shared" ref="C12:C16" si="1">C7*F7^3*0.000000000001/12</f>
        <v>3.2552083333333332E-4</v>
      </c>
      <c r="E12" s="13" t="s">
        <v>75</v>
      </c>
      <c r="F12" s="13" t="s">
        <v>76</v>
      </c>
      <c r="G12" s="22">
        <f t="shared" ref="G12:G16" si="2">C12*$G$2*1000</f>
        <v>9114.5833333333321</v>
      </c>
      <c r="K12" s="10" t="s">
        <v>77</v>
      </c>
      <c r="L12" s="26">
        <f>IF(F4=aux!A5,-C24*(C2-F24),IF(F4=aux!A4,-C24*F24/(2*C2^2)*(C2^2-F24^2),-C24*F24^2*(C2-F24)/C2^2))</f>
        <v>-5.625</v>
      </c>
      <c r="M12" s="26">
        <f>IF(F4=aux!A5,-C19*I19*(C2-F19),IF(F4=aux!A4,-C19*F19*I19*(C2-F19)/(2*C2^2)*(C2+F19-I19^2/(4*(C2-F19))),-C19*I19^3/(12*C2^2)*(C2-3*F19+12*F19^2*(C2-F19)/I19^2)))</f>
        <v>-25.3125</v>
      </c>
      <c r="N12" s="26">
        <f t="shared" ref="N12:N17" si="3">SUM(L12:M12)</f>
        <v>-30.9375</v>
      </c>
      <c r="P12" s="10" t="s">
        <v>78</v>
      </c>
      <c r="Q12" s="26">
        <f t="array" ref="Q12:Q14">-MMULT(Y3:AD5,N12:N17)-N27:N29</f>
        <v>-2.0125000000000028</v>
      </c>
      <c r="T12" s="10" t="str">
        <f t="shared" ref="T12:T14" si="4">X3</f>
        <v>θD</v>
      </c>
      <c r="U12" s="27">
        <f t="array" ref="U12:U14">MMULT(AL3:AN5,Q12:Q14)</f>
        <v>-1.4542862536032138E-4</v>
      </c>
      <c r="Y12" s="10" t="s">
        <v>29</v>
      </c>
      <c r="Z12" s="26">
        <f t="array" ref="Z12:Z17">MMULT(Q3:V8,MMULT(L3:N8,U12:U14))</f>
        <v>26.246535070211692</v>
      </c>
      <c r="AF12" s="10" t="s">
        <v>79</v>
      </c>
      <c r="AG12" s="26">
        <f t="array" ref="AG12:AG17">Z12:Z17+N12:N17</f>
        <v>-4.6909649297883078</v>
      </c>
      <c r="AK12" s="10">
        <v>1</v>
      </c>
      <c r="AL12" s="26">
        <f t="shared" ref="AL12:AL13" si="5">AG22</f>
        <v>48.471795732661072</v>
      </c>
      <c r="AM12" s="26">
        <f>AG12</f>
        <v>-4.6909649297883078</v>
      </c>
      <c r="AN12" s="26">
        <f>-(C24+C19*I19+AO12)</f>
        <v>-35.945207700718186</v>
      </c>
      <c r="AO12" s="26">
        <f t="shared" ref="AO12:AO13" si="6">-(C24*F24+C19*I19*F19-AL12-AM12)/C2</f>
        <v>-34.054792299281814</v>
      </c>
      <c r="AP12" s="26">
        <f t="shared" ref="AP12:AP13" si="7">-AQ12</f>
        <v>30.079884645907285</v>
      </c>
      <c r="AQ12" s="26">
        <f t="shared" ref="AQ12:AQ13" si="8">-(AO14+AN15)</f>
        <v>-30.079884645907285</v>
      </c>
    </row>
    <row r="13" spans="1:43" x14ac:dyDescent="0.25">
      <c r="A13" s="13" t="s">
        <v>80</v>
      </c>
      <c r="B13" s="13" t="s">
        <v>74</v>
      </c>
      <c r="C13" s="25">
        <f t="shared" si="1"/>
        <v>6.7499999999999993E-4</v>
      </c>
      <c r="E13" s="13" t="s">
        <v>81</v>
      </c>
      <c r="F13" s="13" t="s">
        <v>76</v>
      </c>
      <c r="G13" s="22">
        <f t="shared" si="2"/>
        <v>18900</v>
      </c>
      <c r="K13" s="10" t="s">
        <v>82</v>
      </c>
      <c r="L13" s="26">
        <f>IF(F4=aux!A5,-C24,IF(F4=aux!A4,-C24*F24/(2*C2^3)*(3*C2^2-F24^2),C24*F24^2/C2^3*(2*F24-3*C2)))</f>
        <v>-8.4375</v>
      </c>
      <c r="M13" s="38">
        <f>IF(F4=aux!A5,-C19*I19,IF(F4=aux!A4,-(C19*F19*I19-M12)/C2,(-C19*F19*I19+C19*I19^3/(12*C2^2)*(3*F19-2*C2+12*F19*(C2-F19)^2/I19^2)+M12)/C2))</f>
        <v>-38.90625</v>
      </c>
      <c r="N13" s="26">
        <f t="shared" si="3"/>
        <v>-47.34375</v>
      </c>
      <c r="P13" s="10" t="s">
        <v>83</v>
      </c>
      <c r="Q13" s="26">
        <v>28.237500000000004</v>
      </c>
      <c r="T13" s="10" t="str">
        <f t="shared" si="4"/>
        <v>θE</v>
      </c>
      <c r="U13" s="27">
        <v>-1.0381978966144162E-3</v>
      </c>
      <c r="Y13" s="10" t="s">
        <v>34</v>
      </c>
      <c r="Z13" s="26">
        <v>13.288957700718191</v>
      </c>
      <c r="AF13" s="10" t="s">
        <v>84</v>
      </c>
      <c r="AG13" s="26">
        <v>-34.054792299281807</v>
      </c>
      <c r="AK13" s="10">
        <v>2</v>
      </c>
      <c r="AL13" s="26">
        <f t="shared" si="5"/>
        <v>107.62283519759355</v>
      </c>
      <c r="AM13" s="26">
        <f>AG16</f>
        <v>62.041541700251912</v>
      </c>
      <c r="AN13" s="26">
        <f>-(C25+C20*I20+AO13)</f>
        <v>-94.054792299281814</v>
      </c>
      <c r="AO13" s="26">
        <f t="shared" si="6"/>
        <v>34.054792299281821</v>
      </c>
      <c r="AP13" s="26">
        <f t="shared" si="7"/>
        <v>61.920115354092715</v>
      </c>
      <c r="AQ13" s="26">
        <f t="shared" si="8"/>
        <v>-61.920115354092715</v>
      </c>
    </row>
    <row r="14" spans="1:43" x14ac:dyDescent="0.25">
      <c r="A14" s="13" t="s">
        <v>85</v>
      </c>
      <c r="B14" s="13" t="s">
        <v>74</v>
      </c>
      <c r="C14" s="25">
        <f t="shared" si="1"/>
        <v>7.1458333333333324E-4</v>
      </c>
      <c r="E14" s="13" t="s">
        <v>86</v>
      </c>
      <c r="F14" s="13" t="s">
        <v>76</v>
      </c>
      <c r="G14" s="22">
        <f t="shared" si="2"/>
        <v>20008.333333333328</v>
      </c>
      <c r="K14" s="10" t="s">
        <v>87</v>
      </c>
      <c r="L14" s="26">
        <f>C27*F27*(C5-F27)^2/C5^2</f>
        <v>14.7</v>
      </c>
      <c r="M14" s="26">
        <f>C22*I22^3/(12*C5^2)*(3*F22-2*C5+12*F22*(C5-F22)^2/I22^2)</f>
        <v>24.75</v>
      </c>
      <c r="N14" s="26">
        <f t="shared" si="3"/>
        <v>39.450000000000003</v>
      </c>
      <c r="P14" s="10" t="s">
        <v>88</v>
      </c>
      <c r="Q14" s="26">
        <v>67.96875</v>
      </c>
      <c r="T14" s="10" t="str">
        <f t="shared" si="4"/>
        <v>Δ</v>
      </c>
      <c r="U14" s="27">
        <v>8.0667959281694596E-3</v>
      </c>
      <c r="Y14" s="10" t="s">
        <v>37</v>
      </c>
      <c r="Z14" s="26">
        <v>-28.259035070211691</v>
      </c>
      <c r="AF14" s="10" t="s">
        <v>89</v>
      </c>
      <c r="AG14" s="26">
        <v>11.190964929788311</v>
      </c>
      <c r="AK14" s="10">
        <v>3</v>
      </c>
      <c r="AL14" s="26">
        <v>0</v>
      </c>
      <c r="AM14" s="26">
        <f>AG27</f>
        <v>-6.5</v>
      </c>
      <c r="AN14" s="26">
        <f t="shared" ref="AN14:AN16" si="9">C26+C21*I21-AO14</f>
        <v>0</v>
      </c>
      <c r="AO14" s="26">
        <f t="shared" ref="AO14:AO16" si="10">(C26*F26+C21*I21*F21-AL14-AM14)/C4</f>
        <v>7</v>
      </c>
      <c r="AP14" s="26">
        <v>0</v>
      </c>
      <c r="AQ14" s="26">
        <v>0</v>
      </c>
    </row>
    <row r="15" spans="1:43" x14ac:dyDescent="0.25">
      <c r="A15" s="13" t="s">
        <v>90</v>
      </c>
      <c r="B15" s="13" t="s">
        <v>74</v>
      </c>
      <c r="C15" s="25">
        <f t="shared" si="1"/>
        <v>1.8984375E-3</v>
      </c>
      <c r="E15" s="13" t="s">
        <v>91</v>
      </c>
      <c r="F15" s="13" t="s">
        <v>76</v>
      </c>
      <c r="G15" s="22">
        <f t="shared" si="2"/>
        <v>53156.25</v>
      </c>
      <c r="K15" s="10" t="s">
        <v>92</v>
      </c>
      <c r="L15" s="26">
        <f>-C27*F27^2*(C5-F27)/C5^2</f>
        <v>-6.3</v>
      </c>
      <c r="M15" s="26">
        <f>-C22*I22^3/(12*C5^2)*(C5-3*F22+12*F22^2*(C5-F22)/I22^2)</f>
        <v>-24.75</v>
      </c>
      <c r="N15" s="26">
        <f t="shared" si="3"/>
        <v>-31.05</v>
      </c>
      <c r="Y15" s="10" t="s">
        <v>39</v>
      </c>
      <c r="Z15" s="26">
        <v>-47.241541700251886</v>
      </c>
      <c r="AF15" s="10" t="s">
        <v>93</v>
      </c>
      <c r="AG15" s="26">
        <v>-78.291541700251884</v>
      </c>
      <c r="AK15" s="10">
        <v>4</v>
      </c>
      <c r="AL15" s="26">
        <f>AG14</f>
        <v>11.190964929788311</v>
      </c>
      <c r="AM15" s="26">
        <f>AG15</f>
        <v>-78.291541700251884</v>
      </c>
      <c r="AN15" s="26">
        <f t="shared" si="9"/>
        <v>23.079884645907285</v>
      </c>
      <c r="AO15" s="26">
        <f t="shared" si="10"/>
        <v>41.920115354092715</v>
      </c>
      <c r="AP15" s="26">
        <f>-AO12</f>
        <v>34.054792299281814</v>
      </c>
      <c r="AQ15" s="26">
        <f>-AO13</f>
        <v>-34.054792299281821</v>
      </c>
    </row>
    <row r="16" spans="1:43" x14ac:dyDescent="0.25">
      <c r="A16" s="13" t="s">
        <v>94</v>
      </c>
      <c r="B16" s="13" t="s">
        <v>74</v>
      </c>
      <c r="C16" s="25">
        <f t="shared" si="1"/>
        <v>1.9531249999999998E-4</v>
      </c>
      <c r="E16" s="13" t="s">
        <v>95</v>
      </c>
      <c r="F16" s="13" t="s">
        <v>76</v>
      </c>
      <c r="G16" s="22">
        <f t="shared" si="2"/>
        <v>5468.7499999999991</v>
      </c>
      <c r="K16" s="10" t="s">
        <v>96</v>
      </c>
      <c r="L16" s="26">
        <f>IF(F5=aux!A5,-C25*(C3-F25),IF(F5=aux!A4,-C25*F25/(2*C3^2)*(C3^2-F25^2),-C25*F25^2*(C3-F25)/C3^2))</f>
        <v>-2.0833333333333335</v>
      </c>
      <c r="M16" s="26">
        <f>IF(F5=aux!A5,-C20*I20*(C3-F20),IF(F5=aux!A4,-C20*F20*I20*(C3-F20)/(2*C3^2)*(C3+F20-I20^2/(4*(C3-F20))),-C20*I20^3/(12*C3^2)*(C3-3*F20+12*F20^2*(C3-F20)/I20^2)))</f>
        <v>-11.354166666666668</v>
      </c>
      <c r="N16" s="26">
        <f t="shared" si="3"/>
        <v>-13.437500000000002</v>
      </c>
      <c r="Y16" s="10" t="s">
        <v>43</v>
      </c>
      <c r="Z16" s="26">
        <v>75.479041700251912</v>
      </c>
      <c r="AF16" s="10" t="s">
        <v>97</v>
      </c>
      <c r="AG16" s="26">
        <v>62.041541700251912</v>
      </c>
      <c r="AK16" s="10">
        <v>5</v>
      </c>
      <c r="AL16" s="26">
        <f>AG28</f>
        <v>16.25</v>
      </c>
      <c r="AM16" s="26">
        <v>0</v>
      </c>
      <c r="AN16" s="26">
        <f t="shared" si="9"/>
        <v>20</v>
      </c>
      <c r="AO16" s="26">
        <f t="shared" si="10"/>
        <v>0</v>
      </c>
      <c r="AP16" s="26">
        <v>0</v>
      </c>
      <c r="AQ16" s="26">
        <v>0</v>
      </c>
    </row>
    <row r="17" spans="1:43" x14ac:dyDescent="0.25">
      <c r="K17" s="10" t="s">
        <v>98</v>
      </c>
      <c r="L17" s="26">
        <f>IF(F5=aux!A5,-C25,IF(F5=aux!A4,-C25*F25/(2*C3^3)*(3*C3^2-F25^2),C25*F25^2/C3^3*(2*F25-3*C3)))</f>
        <v>-2.2222222222222223</v>
      </c>
      <c r="M17" s="38">
        <f>IF(F5=aux!A5,-C20*I20,IF(F5=aux!A4,-(C20*F20*I20-M16)/C3,(-C20*F20*I20+C20*I20^3/(12*C3^2)*(3*F20-2*C3+12*F20*(C3-F20)^2/I20^2)+M16)/C3))</f>
        <v>-18.402777777777775</v>
      </c>
      <c r="N17" s="26">
        <f t="shared" si="3"/>
        <v>-20.624999999999996</v>
      </c>
      <c r="Y17" s="10" t="s">
        <v>46</v>
      </c>
      <c r="Z17" s="26">
        <v>54.679792299281814</v>
      </c>
      <c r="AF17" s="10" t="s">
        <v>99</v>
      </c>
      <c r="AG17" s="26">
        <v>34.054792299281814</v>
      </c>
    </row>
    <row r="18" spans="1:43" x14ac:dyDescent="0.25">
      <c r="A18" s="13" t="s">
        <v>100</v>
      </c>
    </row>
    <row r="19" spans="1:43" x14ac:dyDescent="0.25">
      <c r="A19" s="3" t="s">
        <v>101</v>
      </c>
      <c r="B19" s="4" t="s">
        <v>102</v>
      </c>
      <c r="C19" s="28">
        <v>20</v>
      </c>
      <c r="D19" s="4" t="s">
        <v>103</v>
      </c>
      <c r="E19" s="4" t="s">
        <v>8</v>
      </c>
      <c r="F19" s="29">
        <v>2.5</v>
      </c>
      <c r="G19" s="3" t="s">
        <v>104</v>
      </c>
      <c r="H19" s="4" t="s">
        <v>8</v>
      </c>
      <c r="I19" s="29">
        <v>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 t="s">
        <v>105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x14ac:dyDescent="0.25">
      <c r="A20" s="11" t="s">
        <v>106</v>
      </c>
      <c r="B20" s="1" t="s">
        <v>102</v>
      </c>
      <c r="C20" s="30">
        <v>20</v>
      </c>
      <c r="D20" s="1" t="s">
        <v>107</v>
      </c>
      <c r="E20" s="1" t="s">
        <v>8</v>
      </c>
      <c r="F20" s="39">
        <v>1.75</v>
      </c>
      <c r="G20" s="11" t="s">
        <v>108</v>
      </c>
      <c r="H20" s="1" t="s">
        <v>8</v>
      </c>
      <c r="I20" s="32">
        <v>1.5</v>
      </c>
      <c r="J20" s="1"/>
      <c r="K20" s="2" t="s">
        <v>109</v>
      </c>
      <c r="L20" s="1"/>
      <c r="M20" s="1"/>
      <c r="N20" s="1"/>
      <c r="O20" s="1"/>
      <c r="P20" s="1"/>
      <c r="Q20" s="1"/>
      <c r="R20" s="2" t="s">
        <v>110</v>
      </c>
      <c r="S20" s="1"/>
      <c r="T20" s="1"/>
      <c r="U20" s="1"/>
      <c r="V20" s="1"/>
      <c r="W20" s="1"/>
      <c r="X20" s="1"/>
      <c r="Y20" s="2" t="s">
        <v>55</v>
      </c>
      <c r="Z20" s="1"/>
      <c r="AA20" s="1"/>
      <c r="AB20" s="1"/>
      <c r="AC20" s="1"/>
      <c r="AD20" s="1"/>
      <c r="AE20" s="1"/>
      <c r="AF20" s="2" t="s">
        <v>105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.75" customHeight="1" x14ac:dyDescent="0.25">
      <c r="A21" s="11" t="s">
        <v>111</v>
      </c>
      <c r="B21" s="1" t="s">
        <v>102</v>
      </c>
      <c r="C21" s="30">
        <v>5</v>
      </c>
      <c r="D21" s="1" t="s">
        <v>112</v>
      </c>
      <c r="E21" s="1" t="s">
        <v>8</v>
      </c>
      <c r="F21" s="31">
        <v>1.5</v>
      </c>
      <c r="G21" s="11" t="s">
        <v>113</v>
      </c>
      <c r="H21" s="1" t="s">
        <v>8</v>
      </c>
      <c r="I21" s="32">
        <v>1</v>
      </c>
      <c r="K21" s="10"/>
      <c r="L21" s="10" t="s">
        <v>60</v>
      </c>
      <c r="M21" s="10" t="s">
        <v>61</v>
      </c>
      <c r="N21" s="10" t="s">
        <v>114</v>
      </c>
      <c r="R21" s="9" t="s">
        <v>115</v>
      </c>
      <c r="S21" s="10" t="str">
        <f t="shared" ref="S21:U21" si="11">L2</f>
        <v>θD</v>
      </c>
      <c r="T21" s="10" t="str">
        <f t="shared" si="11"/>
        <v>θE</v>
      </c>
      <c r="U21" s="10" t="str">
        <f t="shared" si="11"/>
        <v>Δ</v>
      </c>
      <c r="Y21" s="10"/>
      <c r="Z21" s="9" t="s">
        <v>116</v>
      </c>
      <c r="AF21" s="10"/>
      <c r="AG21" s="9" t="s">
        <v>117</v>
      </c>
    </row>
    <row r="22" spans="1:43" ht="15.75" customHeight="1" x14ac:dyDescent="0.25">
      <c r="A22" s="11" t="s">
        <v>118</v>
      </c>
      <c r="B22" s="1" t="s">
        <v>102</v>
      </c>
      <c r="C22" s="33">
        <v>15</v>
      </c>
      <c r="D22" s="1" t="s">
        <v>119</v>
      </c>
      <c r="E22" s="1" t="s">
        <v>8</v>
      </c>
      <c r="F22" s="32">
        <v>2.5</v>
      </c>
      <c r="G22" s="11" t="s">
        <v>120</v>
      </c>
      <c r="H22" s="1" t="s">
        <v>8</v>
      </c>
      <c r="I22" s="32">
        <v>3</v>
      </c>
      <c r="K22" s="10" t="s">
        <v>121</v>
      </c>
      <c r="L22" s="34">
        <f>IF(F4=aux!A3,C24*F24*(C2-F24)^2/C2^2,0)</f>
        <v>1.875</v>
      </c>
      <c r="M22" s="34">
        <f>IF(F4=aux!A3,C19*I19^3/(12*C2^2)*(3*F19-2*C2+12*F19*(C2-F19)^2/I19^2),0)</f>
        <v>19.6875</v>
      </c>
      <c r="N22" s="26">
        <f t="shared" ref="N22:N23" si="12">SUM(L22:M22)</f>
        <v>21.5625</v>
      </c>
      <c r="R22" s="10" t="s">
        <v>122</v>
      </c>
      <c r="S22" s="15">
        <f>IF(F4=aux!A3,Q3/2,0)</f>
        <v>4557.2916666666661</v>
      </c>
      <c r="T22" s="15">
        <v>0</v>
      </c>
      <c r="U22" s="15">
        <f>IF(F4=aux!A3,R3,0)</f>
        <v>3417.9687499999995</v>
      </c>
      <c r="Y22" s="10" t="s">
        <v>122</v>
      </c>
      <c r="Z22" s="14">
        <f t="array" ref="Z22:Z23">MMULT(S22:U23,U12:U14)</f>
        <v>26.909295732661072</v>
      </c>
      <c r="AF22" s="10" t="s">
        <v>123</v>
      </c>
      <c r="AG22" s="26">
        <f t="shared" ref="AG22:AG23" si="13">Z22+N22</f>
        <v>48.471795732661072</v>
      </c>
    </row>
    <row r="23" spans="1:43" ht="15.75" customHeight="1" x14ac:dyDescent="0.25">
      <c r="A23" s="11" t="s">
        <v>124</v>
      </c>
      <c r="B23" s="1" t="s">
        <v>102</v>
      </c>
      <c r="C23" s="33">
        <v>10</v>
      </c>
      <c r="D23" s="1" t="s">
        <v>125</v>
      </c>
      <c r="E23" s="1" t="s">
        <v>8</v>
      </c>
      <c r="F23" s="12">
        <v>1.75</v>
      </c>
      <c r="G23" s="18" t="s">
        <v>126</v>
      </c>
      <c r="H23" s="23" t="s">
        <v>8</v>
      </c>
      <c r="I23" s="35">
        <v>0.5</v>
      </c>
      <c r="K23" s="10" t="s">
        <v>127</v>
      </c>
      <c r="L23" s="34">
        <f>IF(F5=aux!A3,C25*F25*(C3-F25)^2/C3^2,0)</f>
        <v>10.416666666666666</v>
      </c>
      <c r="M23" s="34">
        <f>IF(F5=aux!A3,C20*I20^3/(12*C3^2)*(3*F20-2*C3+12*F20*(C3-F20)^2/I20^2),0)</f>
        <v>8.6458333333333339</v>
      </c>
      <c r="N23" s="26">
        <f t="shared" si="12"/>
        <v>19.0625</v>
      </c>
      <c r="R23" s="10" t="s">
        <v>128</v>
      </c>
      <c r="S23" s="15">
        <v>0</v>
      </c>
      <c r="T23" s="15">
        <f>IF(F5=aux!A3,U7/2,0)</f>
        <v>12600</v>
      </c>
      <c r="U23" s="15">
        <f>IF(F5=aux!A3,V7,0)</f>
        <v>12600</v>
      </c>
      <c r="Y23" s="10" t="s">
        <v>128</v>
      </c>
      <c r="Z23" s="14">
        <v>88.560335197593545</v>
      </c>
      <c r="AF23" s="10" t="s">
        <v>129</v>
      </c>
      <c r="AG23" s="26">
        <f t="shared" si="13"/>
        <v>107.62283519759355</v>
      </c>
    </row>
    <row r="24" spans="1:43" ht="15.75" customHeight="1" x14ac:dyDescent="0.25">
      <c r="A24" s="11" t="s">
        <v>130</v>
      </c>
      <c r="B24" s="1" t="s">
        <v>131</v>
      </c>
      <c r="C24" s="33">
        <v>10</v>
      </c>
      <c r="D24" s="1" t="s">
        <v>132</v>
      </c>
      <c r="E24" s="1" t="s">
        <v>8</v>
      </c>
      <c r="F24" s="32">
        <v>3</v>
      </c>
    </row>
    <row r="25" spans="1:43" ht="15.75" customHeight="1" x14ac:dyDescent="0.25">
      <c r="A25" s="11" t="s">
        <v>133</v>
      </c>
      <c r="B25" s="1" t="s">
        <v>131</v>
      </c>
      <c r="C25" s="33">
        <v>30</v>
      </c>
      <c r="D25" s="1" t="s">
        <v>134</v>
      </c>
      <c r="E25" s="1" t="s">
        <v>8</v>
      </c>
      <c r="F25" s="32">
        <v>0.5</v>
      </c>
      <c r="G25" s="1"/>
      <c r="H25" s="1"/>
      <c r="I25" s="1"/>
      <c r="J25" s="1"/>
      <c r="K25" s="2" t="s">
        <v>135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.75" customHeight="1" x14ac:dyDescent="0.25">
      <c r="A26" s="11" t="s">
        <v>136</v>
      </c>
      <c r="B26" s="1" t="s">
        <v>131</v>
      </c>
      <c r="C26" s="33">
        <v>2</v>
      </c>
      <c r="D26" s="1" t="s">
        <v>137</v>
      </c>
      <c r="E26" s="1" t="s">
        <v>8</v>
      </c>
      <c r="F26" s="32">
        <v>0</v>
      </c>
      <c r="K26" s="10"/>
      <c r="L26" s="10" t="s">
        <v>60</v>
      </c>
      <c r="M26" s="10" t="s">
        <v>61</v>
      </c>
      <c r="N26" s="9" t="s">
        <v>138</v>
      </c>
      <c r="AF26" s="2" t="s">
        <v>139</v>
      </c>
    </row>
    <row r="27" spans="1:43" ht="15.75" customHeight="1" x14ac:dyDescent="0.25">
      <c r="A27" s="11" t="s">
        <v>140</v>
      </c>
      <c r="B27" s="1" t="s">
        <v>131</v>
      </c>
      <c r="C27" s="33">
        <v>20</v>
      </c>
      <c r="D27" s="1" t="s">
        <v>141</v>
      </c>
      <c r="E27" s="1" t="s">
        <v>8</v>
      </c>
      <c r="F27" s="32">
        <v>1.5</v>
      </c>
      <c r="K27" s="10" t="s">
        <v>142</v>
      </c>
      <c r="L27" s="26">
        <f>-C26*(C4-F26)</f>
        <v>-4</v>
      </c>
      <c r="M27" s="26">
        <f>-C21*I21*(C4-F21)</f>
        <v>-2.5</v>
      </c>
      <c r="N27" s="26">
        <f t="shared" ref="N27:N28" si="14">SUM(L27:M27)</f>
        <v>-6.5</v>
      </c>
      <c r="AF27" s="10" t="s">
        <v>143</v>
      </c>
      <c r="AG27" s="26">
        <f t="shared" ref="AG27:AG28" si="15">N27</f>
        <v>-6.5</v>
      </c>
    </row>
    <row r="28" spans="1:43" ht="15.75" customHeight="1" x14ac:dyDescent="0.25">
      <c r="A28" s="18" t="s">
        <v>144</v>
      </c>
      <c r="B28" s="23" t="s">
        <v>131</v>
      </c>
      <c r="C28" s="36">
        <v>15</v>
      </c>
      <c r="D28" s="23" t="s">
        <v>145</v>
      </c>
      <c r="E28" s="23" t="s">
        <v>8</v>
      </c>
      <c r="F28" s="35">
        <v>0.5</v>
      </c>
      <c r="K28" s="10" t="s">
        <v>146</v>
      </c>
      <c r="L28" s="26">
        <f>C28*F28</f>
        <v>7.5</v>
      </c>
      <c r="M28" s="26">
        <f>C23*I23*F23</f>
        <v>8.75</v>
      </c>
      <c r="N28" s="26">
        <f t="shared" si="14"/>
        <v>16.25</v>
      </c>
      <c r="AF28" s="10" t="s">
        <v>147</v>
      </c>
      <c r="AG28" s="26">
        <f t="shared" si="15"/>
        <v>16.25</v>
      </c>
    </row>
    <row r="29" spans="1:43" ht="15.75" customHeight="1" x14ac:dyDescent="0.25">
      <c r="K29" s="10">
        <v>0</v>
      </c>
      <c r="L29" s="26"/>
      <c r="M29" s="26"/>
      <c r="N29" s="26">
        <f>K29</f>
        <v>0</v>
      </c>
    </row>
    <row r="30" spans="1:43" ht="15.75" customHeight="1" x14ac:dyDescent="0.25"/>
    <row r="31" spans="1:4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000-000000000000}">
          <x14:formula1>
            <xm:f>aux!$A$3:$A$5</xm:f>
          </x14:formula1>
          <xm:sqref>F4:F5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000"/>
  <sheetViews>
    <sheetView zoomScale="70" zoomScaleNormal="70" workbookViewId="0">
      <selection activeCell="C4" sqref="C4"/>
    </sheetView>
  </sheetViews>
  <sheetFormatPr baseColWidth="10" defaultColWidth="14.42578125" defaultRowHeight="15" customHeight="1" x14ac:dyDescent="0.25"/>
  <cols>
    <col min="1" max="15" width="6.7109375" customWidth="1"/>
    <col min="16" max="16" width="7.42578125" customWidth="1"/>
    <col min="17" max="49" width="6.7109375" customWidth="1"/>
    <col min="50" max="50" width="10.7109375" customWidth="1"/>
  </cols>
  <sheetData>
    <row r="1" spans="1:49" x14ac:dyDescent="0.25">
      <c r="A1" s="2">
        <v>1</v>
      </c>
      <c r="B1" s="2" t="s">
        <v>148</v>
      </c>
      <c r="K1" s="2">
        <v>2</v>
      </c>
      <c r="L1" s="2" t="s">
        <v>148</v>
      </c>
      <c r="U1" s="2">
        <v>3</v>
      </c>
      <c r="V1" s="2" t="s">
        <v>148</v>
      </c>
      <c r="AE1" s="2">
        <v>4</v>
      </c>
      <c r="AF1" s="2" t="s">
        <v>148</v>
      </c>
      <c r="AO1" s="2">
        <v>5</v>
      </c>
      <c r="AP1" s="2" t="s">
        <v>148</v>
      </c>
    </row>
    <row r="2" spans="1:49" x14ac:dyDescent="0.25">
      <c r="A2" s="13" t="s">
        <v>149</v>
      </c>
      <c r="B2" s="13" t="s">
        <v>150</v>
      </c>
      <c r="C2" s="13" t="s">
        <v>151</v>
      </c>
      <c r="D2" s="13" t="s">
        <v>152</v>
      </c>
      <c r="E2" s="13" t="s">
        <v>153</v>
      </c>
      <c r="F2" s="13" t="s">
        <v>154</v>
      </c>
      <c r="G2" s="13" t="s">
        <v>155</v>
      </c>
      <c r="H2" s="13" t="s">
        <v>156</v>
      </c>
      <c r="I2" s="13" t="str">
        <f>"-M(x)"</f>
        <v>-M(x)</v>
      </c>
      <c r="K2" s="13" t="s">
        <v>149</v>
      </c>
      <c r="L2" s="13" t="s">
        <v>150</v>
      </c>
      <c r="M2" s="13" t="s">
        <v>151</v>
      </c>
      <c r="N2" s="13" t="s">
        <v>152</v>
      </c>
      <c r="O2" s="13" t="s">
        <v>153</v>
      </c>
      <c r="P2" s="13" t="s">
        <v>154</v>
      </c>
      <c r="Q2" s="13" t="s">
        <v>155</v>
      </c>
      <c r="R2" s="13" t="s">
        <v>156</v>
      </c>
      <c r="S2" s="13" t="str">
        <f>"-M(x)"</f>
        <v>-M(x)</v>
      </c>
      <c r="U2" s="13" t="s">
        <v>149</v>
      </c>
      <c r="V2" s="13" t="s">
        <v>150</v>
      </c>
      <c r="W2" s="13" t="s">
        <v>151</v>
      </c>
      <c r="X2" s="13" t="s">
        <v>152</v>
      </c>
      <c r="Y2" s="13" t="s">
        <v>153</v>
      </c>
      <c r="Z2" s="13" t="s">
        <v>154</v>
      </c>
      <c r="AA2" s="13" t="s">
        <v>155</v>
      </c>
      <c r="AB2" s="13" t="s">
        <v>156</v>
      </c>
      <c r="AC2" s="13" t="str">
        <f>"-M(x)"</f>
        <v>-M(x)</v>
      </c>
      <c r="AE2" s="13" t="s">
        <v>149</v>
      </c>
      <c r="AF2" s="13" t="s">
        <v>150</v>
      </c>
      <c r="AG2" s="13" t="s">
        <v>151</v>
      </c>
      <c r="AH2" s="13" t="s">
        <v>152</v>
      </c>
      <c r="AI2" s="13" t="s">
        <v>153</v>
      </c>
      <c r="AJ2" s="13" t="s">
        <v>154</v>
      </c>
      <c r="AK2" s="13" t="s">
        <v>155</v>
      </c>
      <c r="AL2" s="13" t="s">
        <v>156</v>
      </c>
      <c r="AM2" s="13" t="str">
        <f>"-M(x)"</f>
        <v>-M(x)</v>
      </c>
      <c r="AO2" s="13" t="s">
        <v>149</v>
      </c>
      <c r="AP2" s="13" t="s">
        <v>150</v>
      </c>
      <c r="AQ2" s="13" t="s">
        <v>151</v>
      </c>
      <c r="AR2" s="13" t="s">
        <v>152</v>
      </c>
      <c r="AS2" s="13" t="s">
        <v>153</v>
      </c>
      <c r="AT2" s="13" t="s">
        <v>154</v>
      </c>
      <c r="AU2" s="13" t="s">
        <v>155</v>
      </c>
      <c r="AV2" s="13" t="s">
        <v>156</v>
      </c>
      <c r="AW2" s="13" t="str">
        <f>"-M(x)"</f>
        <v>-M(x)</v>
      </c>
    </row>
    <row r="3" spans="1:49" x14ac:dyDescent="0.25">
      <c r="A3" s="13" t="s">
        <v>157</v>
      </c>
      <c r="B3" s="13" t="s">
        <v>131</v>
      </c>
      <c r="C3" s="13" t="s">
        <v>131</v>
      </c>
      <c r="D3" s="13" t="s">
        <v>131</v>
      </c>
      <c r="E3" s="13" t="s">
        <v>131</v>
      </c>
      <c r="F3" s="13" t="s">
        <v>158</v>
      </c>
      <c r="G3" s="13" t="s">
        <v>158</v>
      </c>
      <c r="H3" s="13" t="s">
        <v>158</v>
      </c>
      <c r="I3" s="13" t="s">
        <v>158</v>
      </c>
      <c r="K3" s="13" t="s">
        <v>157</v>
      </c>
      <c r="L3" s="13" t="s">
        <v>131</v>
      </c>
      <c r="M3" s="13" t="s">
        <v>131</v>
      </c>
      <c r="N3" s="13" t="s">
        <v>131</v>
      </c>
      <c r="O3" s="13" t="s">
        <v>131</v>
      </c>
      <c r="P3" s="13" t="s">
        <v>158</v>
      </c>
      <c r="Q3" s="13" t="s">
        <v>158</v>
      </c>
      <c r="R3" s="13" t="s">
        <v>158</v>
      </c>
      <c r="S3" s="13" t="s">
        <v>158</v>
      </c>
      <c r="U3" s="13" t="s">
        <v>157</v>
      </c>
      <c r="V3" s="13" t="s">
        <v>131</v>
      </c>
      <c r="W3" s="13" t="s">
        <v>131</v>
      </c>
      <c r="X3" s="13" t="s">
        <v>131</v>
      </c>
      <c r="Y3" s="13" t="s">
        <v>131</v>
      </c>
      <c r="Z3" s="13" t="s">
        <v>158</v>
      </c>
      <c r="AA3" s="13" t="s">
        <v>158</v>
      </c>
      <c r="AB3" s="13" t="s">
        <v>158</v>
      </c>
      <c r="AC3" s="13" t="s">
        <v>158</v>
      </c>
      <c r="AE3" s="13" t="s">
        <v>157</v>
      </c>
      <c r="AF3" s="13" t="s">
        <v>131</v>
      </c>
      <c r="AG3" s="13" t="s">
        <v>131</v>
      </c>
      <c r="AH3" s="13" t="s">
        <v>131</v>
      </c>
      <c r="AI3" s="13" t="s">
        <v>131</v>
      </c>
      <c r="AJ3" s="13" t="s">
        <v>158</v>
      </c>
      <c r="AK3" s="13" t="s">
        <v>158</v>
      </c>
      <c r="AL3" s="13" t="s">
        <v>158</v>
      </c>
      <c r="AM3" s="13" t="s">
        <v>158</v>
      </c>
      <c r="AO3" s="13" t="s">
        <v>157</v>
      </c>
      <c r="AP3" s="13" t="s">
        <v>131</v>
      </c>
      <c r="AQ3" s="13" t="s">
        <v>131</v>
      </c>
      <c r="AR3" s="13" t="s">
        <v>131</v>
      </c>
      <c r="AS3" s="13" t="s">
        <v>131</v>
      </c>
      <c r="AT3" s="13" t="s">
        <v>158</v>
      </c>
      <c r="AU3" s="13" t="s">
        <v>158</v>
      </c>
      <c r="AV3" s="13" t="s">
        <v>158</v>
      </c>
      <c r="AW3" s="13" t="s">
        <v>158</v>
      </c>
    </row>
    <row r="4" spans="1:49" x14ac:dyDescent="0.25">
      <c r="A4" s="37">
        <v>0</v>
      </c>
      <c r="B4" s="33">
        <f>-'Member end forces'!$AP$12</f>
        <v>-30.079884645907285</v>
      </c>
      <c r="C4" s="33">
        <f>IF(A4*'Member end forces'!$C$2&lt;='Member end forces'!$F$24,IF($A$1&lt;3,-1,1)*'Member end forces'!$AN$12,IF($A$1&lt;3,-1,1)*'Member end forces'!$AN$12-'Member end forces'!$C$24)</f>
        <v>35.945207700718186</v>
      </c>
      <c r="D4" s="33">
        <f>IF(A4*'Member end forces'!$C$2&lt;='Member end forces'!$F$19-'Member end forces'!$I$19/2,0,IF(A4*'Member end forces'!$C$2&lt;='Member end forces'!$F$19+'Member end forces'!$I$19/2,-'Member end forces'!$C$19*(A4*'Member end forces'!$C$2-'Member end forces'!$F$19+'Member end forces'!$I$19/2),-'Member end forces'!$C$19*'Member end forces'!$I$19))</f>
        <v>0</v>
      </c>
      <c r="E4" s="33">
        <f t="shared" ref="E4:E24" si="0">C4+D4</f>
        <v>35.945207700718186</v>
      </c>
      <c r="F4" s="33">
        <f>IF(A4*'Member end forces'!$C$2&lt;='Member end forces'!$F$24,-'Member end forces'!$AL$12+IF($A$1&lt;3,-1,1)*'Member end forces'!$AN$12*A4*'Member end forces'!$C$2,-'Member end forces'!$AL$12+IF($A$1&lt;3,-1,1)*'Member end forces'!$AN$12*A4*'Member end forces'!$C$2-'Member end forces'!$C$24*(A4*'Member end forces'!$C$2-'Member end forces'!$F$24))</f>
        <v>-48.471795732661072</v>
      </c>
      <c r="G4" s="33">
        <f>IF(A4*'Member end forces'!$C$2&lt;='Member end forces'!$F$19-'Member end forces'!$I$19/2,0,IF(A4*'Member end forces'!$C$2&lt;='Member end forces'!$F$19+'Member end forces'!$I$19/2,-'Member end forces'!$C$19/2*(A4*'Member end forces'!$C$2-'Member end forces'!$F$19+'Member end forces'!$I$19/2)^2,-'Member end forces'!$C$19*'Member end forces'!$I$19*(A4*'Member end forces'!$C$2-'Member end forces'!$F$19)))</f>
        <v>0</v>
      </c>
      <c r="H4" s="33">
        <f t="shared" ref="H4:H24" si="1">F4+G4</f>
        <v>-48.471795732661072</v>
      </c>
      <c r="I4" s="33">
        <f t="shared" ref="I4:I24" si="2">-H4</f>
        <v>48.471795732661072</v>
      </c>
      <c r="K4" s="37">
        <v>0</v>
      </c>
      <c r="L4" s="33">
        <f>-'Member end forces'!$AP$13</f>
        <v>-61.920115354092715</v>
      </c>
      <c r="M4" s="33">
        <f>IF(K4*'Member end forces'!$C$3&lt;='Member end forces'!$F$25,IF($K$1&lt;3,-1,1)*'Member end forces'!$AN$13,IF($K$1&lt;3,-1,1)*'Member end forces'!$AN$13-'Member end forces'!$C$25)</f>
        <v>94.054792299281814</v>
      </c>
      <c r="N4" s="33">
        <f>IF(K4*'Member end forces'!$C$3&lt;='Member end forces'!$F$20-'Member end forces'!$I$20/2,0,IF(K4*'Member end forces'!$C$3&lt;='Member end forces'!$F$20+'Member end forces'!$I$20/2,-'Member end forces'!$C$20*(K4*'Member end forces'!$C$3-'Member end forces'!$F$20+'Member end forces'!$I$20/2),-'Member end forces'!$C$20*'Member end forces'!$I$20))</f>
        <v>0</v>
      </c>
      <c r="O4" s="33">
        <f t="shared" ref="O4:O24" si="3">M4+N4</f>
        <v>94.054792299281814</v>
      </c>
      <c r="P4" s="33">
        <f>IF(K4*'Member end forces'!$C$3&lt;='Member end forces'!$F$25,-'Member end forces'!$AL$13+IF($K$1&lt;3,-1,1)*'Member end forces'!$AN$13*K4*'Member end forces'!$C$3,-'Member end forces'!$AL$13+IF($K$1&lt;3,-1,1)*'Member end forces'!$AN$13*K4*'Member end forces'!$C$3-'Member end forces'!$C$25*(K4*'Member end forces'!$C$3-'Member end forces'!$F$25))</f>
        <v>-107.62283519759355</v>
      </c>
      <c r="Q4" s="33">
        <f>IF(K4*'Member end forces'!$C$3&lt;='Member end forces'!$F$20-'Member end forces'!$I$20/2,0,IF(K4*'Member end forces'!$C$3&lt;='Member end forces'!$F$20+'Member end forces'!$I$20/2,-'Member end forces'!$C$20/2*(K4*'Member end forces'!$C$3-'Member end forces'!$F$20+'Member end forces'!$I$20/2)^2,-'Member end forces'!$C$20*'Member end forces'!$I$20*(K4*'Member end forces'!$C$3-'Member end forces'!$F$20)))</f>
        <v>0</v>
      </c>
      <c r="R4" s="33">
        <f t="shared" ref="R4:R24" si="4">P4+Q4</f>
        <v>-107.62283519759355</v>
      </c>
      <c r="S4" s="33">
        <f t="shared" ref="S4:S24" si="5">-R4</f>
        <v>107.62283519759355</v>
      </c>
      <c r="U4" s="37">
        <v>0</v>
      </c>
      <c r="V4" s="33">
        <f>-'Member end forces'!$AP$14</f>
        <v>0</v>
      </c>
      <c r="W4" s="33">
        <f>IF(U4*'Member end forces'!$C$4&lt;='Member end forces'!$F$26,IF($U$1&lt;3,-1,1)*'Member end forces'!$AN$14,IF($U$1&lt;3,-1,1)*'Member end forces'!$AN$14-'Member end forces'!$C$26)</f>
        <v>0</v>
      </c>
      <c r="X4" s="33">
        <f>IF(U4*'Member end forces'!$C$4&lt;='Member end forces'!$F$21-'Member end forces'!$I$21/2,0,IF(U4*'Member end forces'!$C$4&lt;='Member end forces'!$F$21+'Member end forces'!$I$21/2,-'Member end forces'!$C$21*(U4*'Member end forces'!$C$4-'Member end forces'!$F$21+'Member end forces'!$I$21/2),-'Member end forces'!$C$21*'Member end forces'!$I$21))</f>
        <v>0</v>
      </c>
      <c r="Y4" s="33">
        <f t="shared" ref="Y4:Y24" si="6">W4+X4</f>
        <v>0</v>
      </c>
      <c r="Z4" s="33">
        <f>IF(U4*'Member end forces'!$C$4&lt;='Member end forces'!$F$26,-'Member end forces'!$AL$14+IF($U$1&lt;3,-1,1)*'Member end forces'!$AN$14*U4*'Member end forces'!$C$4,-'Member end forces'!$AL$14+IF($U$1&lt;3,-1,1)*'Member end forces'!$AN$14*U4*'Member end forces'!$C$4-'Member end forces'!$C$26*(U4*'Member end forces'!$C$4-'Member end forces'!$F$26))</f>
        <v>0</v>
      </c>
      <c r="AA4" s="33">
        <f>IF(U4*'Member end forces'!$C$4&lt;='Member end forces'!$F$21-'Member end forces'!$I$21/2,0,IF(U4*'Member end forces'!$C$4&lt;='Member end forces'!$F$21+'Member end forces'!$I$21/2,-'Member end forces'!$C$21/2*(U4*'Member end forces'!$C$4-'Member end forces'!$F$21+'Member end forces'!$I$21/2)^2,-'Member end forces'!$C$21*'Member end forces'!$I$21*(U4*'Member end forces'!$C$4-'Member end forces'!$F$21)))</f>
        <v>0</v>
      </c>
      <c r="AB4" s="33">
        <f t="shared" ref="AB4:AB24" si="7">Z4+AA4</f>
        <v>0</v>
      </c>
      <c r="AC4" s="33">
        <f t="shared" ref="AC4:AC24" si="8">-AB4</f>
        <v>0</v>
      </c>
      <c r="AE4" s="37">
        <v>0</v>
      </c>
      <c r="AF4" s="33">
        <f>-'Member end forces'!$AP$15</f>
        <v>-34.054792299281814</v>
      </c>
      <c r="AG4" s="33">
        <f>IF(AE4*'Member end forces'!$C$5&lt;='Member end forces'!$F$27,IF($AE$1&lt;3,-1,1)*'Member end forces'!$AN$15,IF($AE$1&lt;3,-1,1)*'Member end forces'!$AN$15-'Member end forces'!$C$27)</f>
        <v>23.079884645907285</v>
      </c>
      <c r="AH4" s="33">
        <f>IF(AE4*'Member end forces'!$C$5&lt;='Member end forces'!$F$22-'Member end forces'!$I$22/2,0,IF(AE4*'Member end forces'!$C$5&lt;='Member end forces'!$F$22+'Member end forces'!$I$22/2,-'Member end forces'!$C$22*(AE4*'Member end forces'!$C$5-'Member end forces'!$F$22+'Member end forces'!$I$22/2),-'Member end forces'!$C$22*'Member end forces'!$I$22))</f>
        <v>0</v>
      </c>
      <c r="AI4" s="33">
        <f t="shared" ref="AI4:AI24" si="9">AG4+AH4</f>
        <v>23.079884645907285</v>
      </c>
      <c r="AJ4" s="33">
        <f>IF(AE4*'Member end forces'!$C$5&lt;='Member end forces'!$F$27,-'Member end forces'!$AL$15+IF($AE$1&lt;3,-1,1)*'Member end forces'!$AN$15*AE4*'Member end forces'!$C$5,-'Member end forces'!$AL$15+IF($AE$1&lt;3,-1,1)*'Member end forces'!$AN$15*AE4*'Member end forces'!$C$5-'Member end forces'!$C$27*(AE4*'Member end forces'!$C$5-'Member end forces'!$F$27))</f>
        <v>-11.190964929788311</v>
      </c>
      <c r="AK4" s="33">
        <f>IF(AE4*'Member end forces'!$C$5&lt;='Member end forces'!$F$22-'Member end forces'!$I$22/2,0,IF(AE4*'Member end forces'!$C$5&lt;='Member end forces'!$F$22+'Member end forces'!$I$22/2,-'Member end forces'!$C$22/2*(AE4*'Member end forces'!$C$5-'Member end forces'!$F$22+'Member end forces'!$I$22/2)^2,-'Member end forces'!$C$22*'Member end forces'!$I$22*(AE4*'Member end forces'!$C$5-'Member end forces'!$F$22)))</f>
        <v>0</v>
      </c>
      <c r="AL4" s="33">
        <f t="shared" ref="AL4:AL24" si="10">AJ4+AK4</f>
        <v>-11.190964929788311</v>
      </c>
      <c r="AM4" s="33">
        <f t="shared" ref="AM4:AM24" si="11">-AL4</f>
        <v>11.190964929788311</v>
      </c>
      <c r="AO4" s="37">
        <v>0</v>
      </c>
      <c r="AP4" s="33">
        <f>-'Member end forces'!$AP$16</f>
        <v>0</v>
      </c>
      <c r="AQ4" s="33">
        <f>IF(AO4*'Member end forces'!$C$6&lt;='Member end forces'!$F$28,IF($AO$1&lt;3,-1,1)*'Member end forces'!$AN$16,IF($AO$1&lt;3,-1,1)*'Member end forces'!$AN$16-'Member end forces'!$C$28)</f>
        <v>20</v>
      </c>
      <c r="AR4" s="33">
        <f>IF(AO4*'Member end forces'!$C$6&lt;='Member end forces'!$F$23-'Member end forces'!$I$23/2,0,IF(AO4*'Member end forces'!$C$6&lt;='Member end forces'!$F$23+'Member end forces'!$I$23/2,-'Member end forces'!$C$23*(AO4*'Member end forces'!$C$6-'Member end forces'!$F$23+'Member end forces'!$I$23/2),-'Member end forces'!$C$23*'Member end forces'!$I$23))</f>
        <v>0</v>
      </c>
      <c r="AS4" s="33">
        <f t="shared" ref="AS4:AS24" si="12">AQ4+AR4</f>
        <v>20</v>
      </c>
      <c r="AT4" s="33">
        <f>IF(AO4*'Member end forces'!$C$6&lt;='Member end forces'!$F$28,-'Member end forces'!$AL$16+IF($AO$1&lt;3,-1,1)*'Member end forces'!$AN$16*AO4*'Member end forces'!$C$6,-'Member end forces'!$AL$16+IF($AO$1&lt;3,-1,1)*'Member end forces'!$AN$16*AO4*'Member end forces'!$C$6-'Member end forces'!$C$28*(AO4*'Member end forces'!$C$6-'Member end forces'!$F$28))</f>
        <v>-16.25</v>
      </c>
      <c r="AU4" s="33">
        <f>IF(AO4*'Member end forces'!$C$6&lt;='Member end forces'!$F$23-'Member end forces'!$I$23/2,0,IF(AO4*'Member end forces'!$C$6&lt;='Member end forces'!$F$23+'Member end forces'!$I$23/2,-'Member end forces'!$C$23/2*(AO4*'Member end forces'!$C$6-'Member end forces'!$F$23+'Member end forces'!$I$23/2)^2,-'Member end forces'!$C$23*'Member end forces'!$I$23*(AO4*'Member end forces'!$C$6-'Member end forces'!$F$23)))</f>
        <v>0</v>
      </c>
      <c r="AV4" s="33">
        <f t="shared" ref="AV4:AV24" si="13">AT4+AU4</f>
        <v>-16.25</v>
      </c>
      <c r="AW4" s="33">
        <f t="shared" ref="AW4:AW24" si="14">-AV4</f>
        <v>16.25</v>
      </c>
    </row>
    <row r="5" spans="1:49" x14ac:dyDescent="0.25">
      <c r="A5" s="37">
        <v>0.05</v>
      </c>
      <c r="B5" s="33">
        <f>-'Member end forces'!$AP$12</f>
        <v>-30.079884645907285</v>
      </c>
      <c r="C5" s="33">
        <f>IF(A5*'Member end forces'!$C$2&lt;='Member end forces'!$F$24,IF($A$1&lt;3,-1,1)*'Member end forces'!$AN$12,IF($A$1&lt;3,-1,1)*'Member end forces'!$AN$12-'Member end forces'!$C$24)</f>
        <v>35.945207700718186</v>
      </c>
      <c r="D5" s="33">
        <f>IF(A5*'Member end forces'!$C$2&lt;='Member end forces'!$F$19-'Member end forces'!$I$19/2,0,IF(A5*'Member end forces'!$C$2&lt;='Member end forces'!$F$19+'Member end forces'!$I$19/2,-'Member end forces'!$C$19*(A5*'Member end forces'!$C$2-'Member end forces'!$F$19+'Member end forces'!$I$19/2),-'Member end forces'!$C$19*'Member end forces'!$I$19))</f>
        <v>0</v>
      </c>
      <c r="E5" s="33">
        <f t="shared" si="0"/>
        <v>35.945207700718186</v>
      </c>
      <c r="F5" s="33">
        <f>IF(A5*'Member end forces'!$C$2&lt;='Member end forces'!$F$24,-'Member end forces'!$AL$12+IF($A$1&lt;3,-1,1)*'Member end forces'!$AN$12*A5*'Member end forces'!$C$2,-'Member end forces'!$AL$12+IF($A$1&lt;3,-1,1)*'Member end forces'!$AN$12*A5*'Member end forces'!$C$2-'Member end forces'!$C$24*(A5*'Member end forces'!$C$2-'Member end forces'!$F$24))</f>
        <v>-41.28275419251743</v>
      </c>
      <c r="G5" s="33">
        <f>IF(A5*'Member end forces'!$C$2&lt;='Member end forces'!$F$19-'Member end forces'!$I$19/2,0,IF(A5*'Member end forces'!$C$2&lt;='Member end forces'!$F$19+'Member end forces'!$I$19/2,-'Member end forces'!$C$19/2*(A5*'Member end forces'!$C$2-'Member end forces'!$F$19+'Member end forces'!$I$19/2)^2,-'Member end forces'!$C$19*'Member end forces'!$I$19*(A5*'Member end forces'!$C$2-'Member end forces'!$F$19)))</f>
        <v>0</v>
      </c>
      <c r="H5" s="33">
        <f t="shared" si="1"/>
        <v>-41.28275419251743</v>
      </c>
      <c r="I5" s="33">
        <f t="shared" si="2"/>
        <v>41.28275419251743</v>
      </c>
      <c r="K5" s="37">
        <v>0.05</v>
      </c>
      <c r="L5" s="33">
        <f>-'Member end forces'!$AP$13</f>
        <v>-61.920115354092715</v>
      </c>
      <c r="M5" s="33">
        <f>IF(K5*'Member end forces'!$C$3&lt;='Member end forces'!$F$25,IF($K$1&lt;3,-1,1)*'Member end forces'!$AN$13,IF($K$1&lt;3,-1,1)*'Member end forces'!$AN$13-'Member end forces'!$C$25)</f>
        <v>94.054792299281814</v>
      </c>
      <c r="N5" s="33">
        <f>IF(K5*'Member end forces'!$C$3&lt;='Member end forces'!$F$20-'Member end forces'!$I$20/2,0,IF(K5*'Member end forces'!$C$3&lt;='Member end forces'!$F$20+'Member end forces'!$I$20/2,-'Member end forces'!$C$20*(K5*'Member end forces'!$C$3-'Member end forces'!$F$20+'Member end forces'!$I$20/2),-'Member end forces'!$C$20*'Member end forces'!$I$20))</f>
        <v>0</v>
      </c>
      <c r="O5" s="33">
        <f t="shared" si="3"/>
        <v>94.054792299281814</v>
      </c>
      <c r="P5" s="33">
        <f>IF(K5*'Member end forces'!$C$3&lt;='Member end forces'!$F$25,-'Member end forces'!$AL$13+IF($K$1&lt;3,-1,1)*'Member end forces'!$AN$13*K5*'Member end forces'!$C$3,-'Member end forces'!$AL$13+IF($K$1&lt;3,-1,1)*'Member end forces'!$AN$13*K5*'Member end forces'!$C$3-'Member end forces'!$C$25*(K5*'Member end forces'!$C$3-'Member end forces'!$F$25))</f>
        <v>-93.514616352701267</v>
      </c>
      <c r="Q5" s="33">
        <f>IF(K5*'Member end forces'!$C$3&lt;='Member end forces'!$F$20-'Member end forces'!$I$20/2,0,IF(K5*'Member end forces'!$C$3&lt;='Member end forces'!$F$20+'Member end forces'!$I$20/2,-'Member end forces'!$C$20/2*(K5*'Member end forces'!$C$3-'Member end forces'!$F$20+'Member end forces'!$I$20/2)^2,-'Member end forces'!$C$20*'Member end forces'!$I$20*(K5*'Member end forces'!$C$3-'Member end forces'!$F$20)))</f>
        <v>0</v>
      </c>
      <c r="R5" s="33">
        <f t="shared" si="4"/>
        <v>-93.514616352701267</v>
      </c>
      <c r="S5" s="33">
        <f t="shared" si="5"/>
        <v>93.514616352701267</v>
      </c>
      <c r="U5" s="37">
        <v>0.05</v>
      </c>
      <c r="V5" s="33">
        <f>-'Member end forces'!$AP$14</f>
        <v>0</v>
      </c>
      <c r="W5" s="33">
        <f>IF(U5*'Member end forces'!$C$4&lt;='Member end forces'!$F$26,IF($U$1&lt;3,-1,1)*'Member end forces'!$AN$14,IF($U$1&lt;3,-1,1)*'Member end forces'!$AN$14-'Member end forces'!$C$26)</f>
        <v>-2</v>
      </c>
      <c r="X5" s="33">
        <f>IF(U5*'Member end forces'!$C$4&lt;='Member end forces'!$F$21-'Member end forces'!$I$21/2,0,IF(U5*'Member end forces'!$C$4&lt;='Member end forces'!$F$21+'Member end forces'!$I$21/2,-'Member end forces'!$C$21*(U5*'Member end forces'!$C$4-'Member end forces'!$F$21+'Member end forces'!$I$21/2),-'Member end forces'!$C$21*'Member end forces'!$I$21))</f>
        <v>0</v>
      </c>
      <c r="Y5" s="33">
        <f t="shared" si="6"/>
        <v>-2</v>
      </c>
      <c r="Z5" s="33">
        <f>IF(U5*'Member end forces'!$C$4&lt;='Member end forces'!$F$26,-'Member end forces'!$AL$14+IF($U$1&lt;3,-1,1)*'Member end forces'!$AN$14*U5*'Member end forces'!$C$4,-'Member end forces'!$AL$14+IF($U$1&lt;3,-1,1)*'Member end forces'!$AN$14*U5*'Member end forces'!$C$4-'Member end forces'!$C$26*(U5*'Member end forces'!$C$4-'Member end forces'!$F$26))</f>
        <v>-0.2</v>
      </c>
      <c r="AA5" s="33">
        <f>IF(U5*'Member end forces'!$C$4&lt;='Member end forces'!$F$21-'Member end forces'!$I$21/2,0,IF(U5*'Member end forces'!$C$4&lt;='Member end forces'!$F$21+'Member end forces'!$I$21/2,-'Member end forces'!$C$21/2*(U5*'Member end forces'!$C$4-'Member end forces'!$F$21+'Member end forces'!$I$21/2)^2,-'Member end forces'!$C$21*'Member end forces'!$I$21*(U5*'Member end forces'!$C$4-'Member end forces'!$F$21)))</f>
        <v>0</v>
      </c>
      <c r="AB5" s="33">
        <f t="shared" si="7"/>
        <v>-0.2</v>
      </c>
      <c r="AC5" s="33">
        <f t="shared" si="8"/>
        <v>0.2</v>
      </c>
      <c r="AE5" s="37">
        <v>0.05</v>
      </c>
      <c r="AF5" s="33">
        <f>-'Member end forces'!$AP$15</f>
        <v>-34.054792299281814</v>
      </c>
      <c r="AG5" s="33">
        <f>IF(AE5*'Member end forces'!$C$5&lt;='Member end forces'!$F$27,IF($AE$1&lt;3,-1,1)*'Member end forces'!$AN$15,IF($AE$1&lt;3,-1,1)*'Member end forces'!$AN$15-'Member end forces'!$C$27)</f>
        <v>23.079884645907285</v>
      </c>
      <c r="AH5" s="33">
        <f>IF(AE5*'Member end forces'!$C$5&lt;='Member end forces'!$F$22-'Member end forces'!$I$22/2,0,IF(AE5*'Member end forces'!$C$5&lt;='Member end forces'!$F$22+'Member end forces'!$I$22/2,-'Member end forces'!$C$22*(AE5*'Member end forces'!$C$5-'Member end forces'!$F$22+'Member end forces'!$I$22/2),-'Member end forces'!$C$22*'Member end forces'!$I$22))</f>
        <v>0</v>
      </c>
      <c r="AI5" s="33">
        <f t="shared" si="9"/>
        <v>23.079884645907285</v>
      </c>
      <c r="AJ5" s="33">
        <f>IF(AE5*'Member end forces'!$C$5&lt;='Member end forces'!$F$27,-'Member end forces'!$AL$15+IF($AE$1&lt;3,-1,1)*'Member end forces'!$AN$15*AE5*'Member end forces'!$C$5,-'Member end forces'!$AL$15+IF($AE$1&lt;3,-1,1)*'Member end forces'!$AN$15*AE5*'Member end forces'!$C$5-'Member end forces'!$C$27*(AE5*'Member end forces'!$C$5-'Member end forces'!$F$27))</f>
        <v>-5.4209937683114902</v>
      </c>
      <c r="AK5" s="33">
        <f>IF(AE5*'Member end forces'!$C$5&lt;='Member end forces'!$F$22-'Member end forces'!$I$22/2,0,IF(AE5*'Member end forces'!$C$5&lt;='Member end forces'!$F$22+'Member end forces'!$I$22/2,-'Member end forces'!$C$22/2*(AE5*'Member end forces'!$C$5-'Member end forces'!$F$22+'Member end forces'!$I$22/2)^2,-'Member end forces'!$C$22*'Member end forces'!$I$22*(AE5*'Member end forces'!$C$5-'Member end forces'!$F$22)))</f>
        <v>0</v>
      </c>
      <c r="AL5" s="33">
        <f t="shared" si="10"/>
        <v>-5.4209937683114902</v>
      </c>
      <c r="AM5" s="33">
        <f t="shared" si="11"/>
        <v>5.4209937683114902</v>
      </c>
      <c r="AO5" s="37">
        <v>0.05</v>
      </c>
      <c r="AP5" s="33">
        <f>-'Member end forces'!$AP$16</f>
        <v>0</v>
      </c>
      <c r="AQ5" s="33">
        <f>IF(AO5*'Member end forces'!$C$6&lt;='Member end forces'!$F$28,IF($AO$1&lt;3,-1,1)*'Member end forces'!$AN$16,IF($AO$1&lt;3,-1,1)*'Member end forces'!$AN$16-'Member end forces'!$C$28)</f>
        <v>20</v>
      </c>
      <c r="AR5" s="33">
        <f>IF(AO5*'Member end forces'!$C$6&lt;='Member end forces'!$F$23-'Member end forces'!$I$23/2,0,IF(AO5*'Member end forces'!$C$6&lt;='Member end forces'!$F$23+'Member end forces'!$I$23/2,-'Member end forces'!$C$23*(AO5*'Member end forces'!$C$6-'Member end forces'!$F$23+'Member end forces'!$I$23/2),-'Member end forces'!$C$23*'Member end forces'!$I$23))</f>
        <v>0</v>
      </c>
      <c r="AS5" s="33">
        <f t="shared" si="12"/>
        <v>20</v>
      </c>
      <c r="AT5" s="33">
        <f>IF(AO5*'Member end forces'!$C$6&lt;='Member end forces'!$F$28,-'Member end forces'!$AL$16+IF($AO$1&lt;3,-1,1)*'Member end forces'!$AN$16*AO5*'Member end forces'!$C$6,-'Member end forces'!$AL$16+IF($AO$1&lt;3,-1,1)*'Member end forces'!$AN$16*AO5*'Member end forces'!$C$6-'Member end forces'!$C$28*(AO5*'Member end forces'!$C$6-'Member end forces'!$F$28))</f>
        <v>-14.25</v>
      </c>
      <c r="AU5" s="33">
        <f>IF(AO5*'Member end forces'!$C$6&lt;='Member end forces'!$F$23-'Member end forces'!$I$23/2,0,IF(AO5*'Member end forces'!$C$6&lt;='Member end forces'!$F$23+'Member end forces'!$I$23/2,-'Member end forces'!$C$23/2*(AO5*'Member end forces'!$C$6-'Member end forces'!$F$23+'Member end forces'!$I$23/2)^2,-'Member end forces'!$C$23*'Member end forces'!$I$23*(AO5*'Member end forces'!$C$6-'Member end forces'!$F$23)))</f>
        <v>0</v>
      </c>
      <c r="AV5" s="33">
        <f t="shared" si="13"/>
        <v>-14.25</v>
      </c>
      <c r="AW5" s="33">
        <f t="shared" si="14"/>
        <v>14.25</v>
      </c>
    </row>
    <row r="6" spans="1:49" x14ac:dyDescent="0.25">
      <c r="A6" s="37">
        <v>0.1</v>
      </c>
      <c r="B6" s="33">
        <f>-'Member end forces'!$AP$12</f>
        <v>-30.079884645907285</v>
      </c>
      <c r="C6" s="33">
        <f>IF(A6*'Member end forces'!$C$2&lt;='Member end forces'!$F$24,IF($A$1&lt;3,-1,1)*'Member end forces'!$AN$12,IF($A$1&lt;3,-1,1)*'Member end forces'!$AN$12-'Member end forces'!$C$24)</f>
        <v>35.945207700718186</v>
      </c>
      <c r="D6" s="33">
        <f>IF(A6*'Member end forces'!$C$2&lt;='Member end forces'!$F$19-'Member end forces'!$I$19/2,0,IF(A6*'Member end forces'!$C$2&lt;='Member end forces'!$F$19+'Member end forces'!$I$19/2,-'Member end forces'!$C$19*(A6*'Member end forces'!$C$2-'Member end forces'!$F$19+'Member end forces'!$I$19/2),-'Member end forces'!$C$19*'Member end forces'!$I$19))</f>
        <v>0</v>
      </c>
      <c r="E6" s="33">
        <f t="shared" si="0"/>
        <v>35.945207700718186</v>
      </c>
      <c r="F6" s="33">
        <f>IF(A6*'Member end forces'!$C$2&lt;='Member end forces'!$F$24,-'Member end forces'!$AL$12+IF($A$1&lt;3,-1,1)*'Member end forces'!$AN$12*A6*'Member end forces'!$C$2,-'Member end forces'!$AL$12+IF($A$1&lt;3,-1,1)*'Member end forces'!$AN$12*A6*'Member end forces'!$C$2-'Member end forces'!$C$24*(A6*'Member end forces'!$C$2-'Member end forces'!$F$24))</f>
        <v>-34.093712652373796</v>
      </c>
      <c r="G6" s="33">
        <f>IF(A6*'Member end forces'!$C$2&lt;='Member end forces'!$F$19-'Member end forces'!$I$19/2,0,IF(A6*'Member end forces'!$C$2&lt;='Member end forces'!$F$19+'Member end forces'!$I$19/2,-'Member end forces'!$C$19/2*(A6*'Member end forces'!$C$2-'Member end forces'!$F$19+'Member end forces'!$I$19/2)^2,-'Member end forces'!$C$19*'Member end forces'!$I$19*(A6*'Member end forces'!$C$2-'Member end forces'!$F$19)))</f>
        <v>0</v>
      </c>
      <c r="H6" s="33">
        <f t="shared" si="1"/>
        <v>-34.093712652373796</v>
      </c>
      <c r="I6" s="33">
        <f t="shared" si="2"/>
        <v>34.093712652373796</v>
      </c>
      <c r="K6" s="37">
        <v>0.1</v>
      </c>
      <c r="L6" s="33">
        <f>-'Member end forces'!$AP$13</f>
        <v>-61.920115354092715</v>
      </c>
      <c r="M6" s="33">
        <f>IF(K6*'Member end forces'!$C$3&lt;='Member end forces'!$F$25,IF($K$1&lt;3,-1,1)*'Member end forces'!$AN$13,IF($K$1&lt;3,-1,1)*'Member end forces'!$AN$13-'Member end forces'!$C$25)</f>
        <v>94.054792299281814</v>
      </c>
      <c r="N6" s="33">
        <f>IF(K6*'Member end forces'!$C$3&lt;='Member end forces'!$F$20-'Member end forces'!$I$20/2,0,IF(K6*'Member end forces'!$C$3&lt;='Member end forces'!$F$20+'Member end forces'!$I$20/2,-'Member end forces'!$C$20*(K6*'Member end forces'!$C$3-'Member end forces'!$F$20+'Member end forces'!$I$20/2),-'Member end forces'!$C$20*'Member end forces'!$I$20))</f>
        <v>0</v>
      </c>
      <c r="O6" s="33">
        <f t="shared" si="3"/>
        <v>94.054792299281814</v>
      </c>
      <c r="P6" s="33">
        <f>IF(K6*'Member end forces'!$C$3&lt;='Member end forces'!$F$25,-'Member end forces'!$AL$13+IF($K$1&lt;3,-1,1)*'Member end forces'!$AN$13*K6*'Member end forces'!$C$3,-'Member end forces'!$AL$13+IF($K$1&lt;3,-1,1)*'Member end forces'!$AN$13*K6*'Member end forces'!$C$3-'Member end forces'!$C$25*(K6*'Member end forces'!$C$3-'Member end forces'!$F$25))</f>
        <v>-79.406397507809004</v>
      </c>
      <c r="Q6" s="33">
        <f>IF(K6*'Member end forces'!$C$3&lt;='Member end forces'!$F$20-'Member end forces'!$I$20/2,0,IF(K6*'Member end forces'!$C$3&lt;='Member end forces'!$F$20+'Member end forces'!$I$20/2,-'Member end forces'!$C$20/2*(K6*'Member end forces'!$C$3-'Member end forces'!$F$20+'Member end forces'!$I$20/2)^2,-'Member end forces'!$C$20*'Member end forces'!$I$20*(K6*'Member end forces'!$C$3-'Member end forces'!$F$20)))</f>
        <v>0</v>
      </c>
      <c r="R6" s="33">
        <f t="shared" si="4"/>
        <v>-79.406397507809004</v>
      </c>
      <c r="S6" s="33">
        <f t="shared" si="5"/>
        <v>79.406397507809004</v>
      </c>
      <c r="U6" s="37">
        <v>0.1</v>
      </c>
      <c r="V6" s="33">
        <f>-'Member end forces'!$AP$14</f>
        <v>0</v>
      </c>
      <c r="W6" s="33">
        <f>IF(U6*'Member end forces'!$C$4&lt;='Member end forces'!$F$26,IF($U$1&lt;3,-1,1)*'Member end forces'!$AN$14,IF($U$1&lt;3,-1,1)*'Member end forces'!$AN$14-'Member end forces'!$C$26)</f>
        <v>-2</v>
      </c>
      <c r="X6" s="33">
        <f>IF(U6*'Member end forces'!$C$4&lt;='Member end forces'!$F$21-'Member end forces'!$I$21/2,0,IF(U6*'Member end forces'!$C$4&lt;='Member end forces'!$F$21+'Member end forces'!$I$21/2,-'Member end forces'!$C$21*(U6*'Member end forces'!$C$4-'Member end forces'!$F$21+'Member end forces'!$I$21/2),-'Member end forces'!$C$21*'Member end forces'!$I$21))</f>
        <v>0</v>
      </c>
      <c r="Y6" s="33">
        <f t="shared" si="6"/>
        <v>-2</v>
      </c>
      <c r="Z6" s="33">
        <f>IF(U6*'Member end forces'!$C$4&lt;='Member end forces'!$F$26,-'Member end forces'!$AL$14+IF($U$1&lt;3,-1,1)*'Member end forces'!$AN$14*U6*'Member end forces'!$C$4,-'Member end forces'!$AL$14+IF($U$1&lt;3,-1,1)*'Member end forces'!$AN$14*U6*'Member end forces'!$C$4-'Member end forces'!$C$26*(U6*'Member end forces'!$C$4-'Member end forces'!$F$26))</f>
        <v>-0.4</v>
      </c>
      <c r="AA6" s="33">
        <f>IF(U6*'Member end forces'!$C$4&lt;='Member end forces'!$F$21-'Member end forces'!$I$21/2,0,IF(U6*'Member end forces'!$C$4&lt;='Member end forces'!$F$21+'Member end forces'!$I$21/2,-'Member end forces'!$C$21/2*(U6*'Member end forces'!$C$4-'Member end forces'!$F$21+'Member end forces'!$I$21/2)^2,-'Member end forces'!$C$21*'Member end forces'!$I$21*(U6*'Member end forces'!$C$4-'Member end forces'!$F$21)))</f>
        <v>0</v>
      </c>
      <c r="AB6" s="33">
        <f t="shared" si="7"/>
        <v>-0.4</v>
      </c>
      <c r="AC6" s="33">
        <f t="shared" si="8"/>
        <v>0.4</v>
      </c>
      <c r="AE6" s="37">
        <v>0.1</v>
      </c>
      <c r="AF6" s="33">
        <f>-'Member end forces'!$AP$15</f>
        <v>-34.054792299281814</v>
      </c>
      <c r="AG6" s="33">
        <f>IF(AE6*'Member end forces'!$C$5&lt;='Member end forces'!$F$27,IF($AE$1&lt;3,-1,1)*'Member end forces'!$AN$15,IF($AE$1&lt;3,-1,1)*'Member end forces'!$AN$15-'Member end forces'!$C$27)</f>
        <v>23.079884645907285</v>
      </c>
      <c r="AH6" s="33">
        <f>IF(AE6*'Member end forces'!$C$5&lt;='Member end forces'!$F$22-'Member end forces'!$I$22/2,0,IF(AE6*'Member end forces'!$C$5&lt;='Member end forces'!$F$22+'Member end forces'!$I$22/2,-'Member end forces'!$C$22*(AE6*'Member end forces'!$C$5-'Member end forces'!$F$22+'Member end forces'!$I$22/2),-'Member end forces'!$C$22*'Member end forces'!$I$22))</f>
        <v>0</v>
      </c>
      <c r="AI6" s="33">
        <f t="shared" si="9"/>
        <v>23.079884645907285</v>
      </c>
      <c r="AJ6" s="33">
        <f>IF(AE6*'Member end forces'!$C$5&lt;='Member end forces'!$F$27,-'Member end forces'!$AL$15+IF($AE$1&lt;3,-1,1)*'Member end forces'!$AN$15*AE6*'Member end forces'!$C$5,-'Member end forces'!$AL$15+IF($AE$1&lt;3,-1,1)*'Member end forces'!$AN$15*AE6*'Member end forces'!$C$5-'Member end forces'!$C$27*(AE6*'Member end forces'!$C$5-'Member end forces'!$F$27))</f>
        <v>0.34897739316533105</v>
      </c>
      <c r="AK6" s="33">
        <f>IF(AE6*'Member end forces'!$C$5&lt;='Member end forces'!$F$22-'Member end forces'!$I$22/2,0,IF(AE6*'Member end forces'!$C$5&lt;='Member end forces'!$F$22+'Member end forces'!$I$22/2,-'Member end forces'!$C$22/2*(AE6*'Member end forces'!$C$5-'Member end forces'!$F$22+'Member end forces'!$I$22/2)^2,-'Member end forces'!$C$22*'Member end forces'!$I$22*(AE6*'Member end forces'!$C$5-'Member end forces'!$F$22)))</f>
        <v>0</v>
      </c>
      <c r="AL6" s="33">
        <f t="shared" si="10"/>
        <v>0.34897739316533105</v>
      </c>
      <c r="AM6" s="33">
        <f t="shared" si="11"/>
        <v>-0.34897739316533105</v>
      </c>
      <c r="AO6" s="37">
        <v>0.1</v>
      </c>
      <c r="AP6" s="33">
        <f>-'Member end forces'!$AP$16</f>
        <v>0</v>
      </c>
      <c r="AQ6" s="33">
        <f>IF(AO6*'Member end forces'!$C$6&lt;='Member end forces'!$F$28,IF($AO$1&lt;3,-1,1)*'Member end forces'!$AN$16,IF($AO$1&lt;3,-1,1)*'Member end forces'!$AN$16-'Member end forces'!$C$28)</f>
        <v>20</v>
      </c>
      <c r="AR6" s="33">
        <f>IF(AO6*'Member end forces'!$C$6&lt;='Member end forces'!$F$23-'Member end forces'!$I$23/2,0,IF(AO6*'Member end forces'!$C$6&lt;='Member end forces'!$F$23+'Member end forces'!$I$23/2,-'Member end forces'!$C$23*(AO6*'Member end forces'!$C$6-'Member end forces'!$F$23+'Member end forces'!$I$23/2),-'Member end forces'!$C$23*'Member end forces'!$I$23))</f>
        <v>0</v>
      </c>
      <c r="AS6" s="33">
        <f t="shared" si="12"/>
        <v>20</v>
      </c>
      <c r="AT6" s="33">
        <f>IF(AO6*'Member end forces'!$C$6&lt;='Member end forces'!$F$28,-'Member end forces'!$AL$16+IF($AO$1&lt;3,-1,1)*'Member end forces'!$AN$16*AO6*'Member end forces'!$C$6,-'Member end forces'!$AL$16+IF($AO$1&lt;3,-1,1)*'Member end forces'!$AN$16*AO6*'Member end forces'!$C$6-'Member end forces'!$C$28*(AO6*'Member end forces'!$C$6-'Member end forces'!$F$28))</f>
        <v>-12.25</v>
      </c>
      <c r="AU6" s="33">
        <f>IF(AO6*'Member end forces'!$C$6&lt;='Member end forces'!$F$23-'Member end forces'!$I$23/2,0,IF(AO6*'Member end forces'!$C$6&lt;='Member end forces'!$F$23+'Member end forces'!$I$23/2,-'Member end forces'!$C$23/2*(AO6*'Member end forces'!$C$6-'Member end forces'!$F$23+'Member end forces'!$I$23/2)^2,-'Member end forces'!$C$23*'Member end forces'!$I$23*(AO6*'Member end forces'!$C$6-'Member end forces'!$F$23)))</f>
        <v>0</v>
      </c>
      <c r="AV6" s="33">
        <f t="shared" si="13"/>
        <v>-12.25</v>
      </c>
      <c r="AW6" s="33">
        <f t="shared" si="14"/>
        <v>12.25</v>
      </c>
    </row>
    <row r="7" spans="1:49" x14ac:dyDescent="0.25">
      <c r="A7" s="37">
        <v>0.15</v>
      </c>
      <c r="B7" s="33">
        <f>-'Member end forces'!$AP$12</f>
        <v>-30.079884645907285</v>
      </c>
      <c r="C7" s="33">
        <f>IF(A7*'Member end forces'!$C$2&lt;='Member end forces'!$F$24,IF($A$1&lt;3,-1,1)*'Member end forces'!$AN$12,IF($A$1&lt;3,-1,1)*'Member end forces'!$AN$12-'Member end forces'!$C$24)</f>
        <v>35.945207700718186</v>
      </c>
      <c r="D7" s="33">
        <f>IF(A7*'Member end forces'!$C$2&lt;='Member end forces'!$F$19-'Member end forces'!$I$19/2,0,IF(A7*'Member end forces'!$C$2&lt;='Member end forces'!$F$19+'Member end forces'!$I$19/2,-'Member end forces'!$C$19*(A7*'Member end forces'!$C$2-'Member end forces'!$F$19+'Member end forces'!$I$19/2),-'Member end forces'!$C$19*'Member end forces'!$I$19))</f>
        <v>0</v>
      </c>
      <c r="E7" s="33">
        <f t="shared" si="0"/>
        <v>35.945207700718186</v>
      </c>
      <c r="F7" s="33">
        <f>IF(A7*'Member end forces'!$C$2&lt;='Member end forces'!$F$24,-'Member end forces'!$AL$12+IF($A$1&lt;3,-1,1)*'Member end forces'!$AN$12*A7*'Member end forces'!$C$2,-'Member end forces'!$AL$12+IF($A$1&lt;3,-1,1)*'Member end forces'!$AN$12*A7*'Member end forces'!$C$2-'Member end forces'!$C$24*(A7*'Member end forces'!$C$2-'Member end forces'!$F$24))</f>
        <v>-26.904671112230162</v>
      </c>
      <c r="G7" s="33">
        <f>IF(A7*'Member end forces'!$C$2&lt;='Member end forces'!$F$19-'Member end forces'!$I$19/2,0,IF(A7*'Member end forces'!$C$2&lt;='Member end forces'!$F$19+'Member end forces'!$I$19/2,-'Member end forces'!$C$19/2*(A7*'Member end forces'!$C$2-'Member end forces'!$F$19+'Member end forces'!$I$19/2)^2,-'Member end forces'!$C$19*'Member end forces'!$I$19*(A7*'Member end forces'!$C$2-'Member end forces'!$F$19)))</f>
        <v>0</v>
      </c>
      <c r="H7" s="33">
        <f t="shared" si="1"/>
        <v>-26.904671112230162</v>
      </c>
      <c r="I7" s="33">
        <f t="shared" si="2"/>
        <v>26.904671112230162</v>
      </c>
      <c r="K7" s="37">
        <v>0.15</v>
      </c>
      <c r="L7" s="33">
        <f>-'Member end forces'!$AP$13</f>
        <v>-61.920115354092715</v>
      </c>
      <c r="M7" s="33">
        <f>IF(K7*'Member end forces'!$C$3&lt;='Member end forces'!$F$25,IF($K$1&lt;3,-1,1)*'Member end forces'!$AN$13,IF($K$1&lt;3,-1,1)*'Member end forces'!$AN$13-'Member end forces'!$C$25)</f>
        <v>94.054792299281814</v>
      </c>
      <c r="N7" s="33">
        <f>IF(K7*'Member end forces'!$C$3&lt;='Member end forces'!$F$20-'Member end forces'!$I$20/2,0,IF(K7*'Member end forces'!$C$3&lt;='Member end forces'!$F$20+'Member end forces'!$I$20/2,-'Member end forces'!$C$20*(K7*'Member end forces'!$C$3-'Member end forces'!$F$20+'Member end forces'!$I$20/2),-'Member end forces'!$C$20*'Member end forces'!$I$20))</f>
        <v>0</v>
      </c>
      <c r="O7" s="33">
        <f t="shared" si="3"/>
        <v>94.054792299281814</v>
      </c>
      <c r="P7" s="33">
        <f>IF(K7*'Member end forces'!$C$3&lt;='Member end forces'!$F$25,-'Member end forces'!$AL$13+IF($K$1&lt;3,-1,1)*'Member end forces'!$AN$13*K7*'Member end forces'!$C$3,-'Member end forces'!$AL$13+IF($K$1&lt;3,-1,1)*'Member end forces'!$AN$13*K7*'Member end forces'!$C$3-'Member end forces'!$C$25*(K7*'Member end forces'!$C$3-'Member end forces'!$F$25))</f>
        <v>-65.298178662916726</v>
      </c>
      <c r="Q7" s="33">
        <f>IF(K7*'Member end forces'!$C$3&lt;='Member end forces'!$F$20-'Member end forces'!$I$20/2,0,IF(K7*'Member end forces'!$C$3&lt;='Member end forces'!$F$20+'Member end forces'!$I$20/2,-'Member end forces'!$C$20/2*(K7*'Member end forces'!$C$3-'Member end forces'!$F$20+'Member end forces'!$I$20/2)^2,-'Member end forces'!$C$20*'Member end forces'!$I$20*(K7*'Member end forces'!$C$3-'Member end forces'!$F$20)))</f>
        <v>0</v>
      </c>
      <c r="R7" s="33">
        <f t="shared" si="4"/>
        <v>-65.298178662916726</v>
      </c>
      <c r="S7" s="33">
        <f t="shared" si="5"/>
        <v>65.298178662916726</v>
      </c>
      <c r="U7" s="37">
        <v>0.15</v>
      </c>
      <c r="V7" s="33">
        <f>-'Member end forces'!$AP$14</f>
        <v>0</v>
      </c>
      <c r="W7" s="33">
        <f>IF(U7*'Member end forces'!$C$4&lt;='Member end forces'!$F$26,IF($U$1&lt;3,-1,1)*'Member end forces'!$AN$14,IF($U$1&lt;3,-1,1)*'Member end forces'!$AN$14-'Member end forces'!$C$26)</f>
        <v>-2</v>
      </c>
      <c r="X7" s="33">
        <f>IF(U7*'Member end forces'!$C$4&lt;='Member end forces'!$F$21-'Member end forces'!$I$21/2,0,IF(U7*'Member end forces'!$C$4&lt;='Member end forces'!$F$21+'Member end forces'!$I$21/2,-'Member end forces'!$C$21*(U7*'Member end forces'!$C$4-'Member end forces'!$F$21+'Member end forces'!$I$21/2),-'Member end forces'!$C$21*'Member end forces'!$I$21))</f>
        <v>0</v>
      </c>
      <c r="Y7" s="33">
        <f t="shared" si="6"/>
        <v>-2</v>
      </c>
      <c r="Z7" s="33">
        <f>IF(U7*'Member end forces'!$C$4&lt;='Member end forces'!$F$26,-'Member end forces'!$AL$14+IF($U$1&lt;3,-1,1)*'Member end forces'!$AN$14*U7*'Member end forces'!$C$4,-'Member end forces'!$AL$14+IF($U$1&lt;3,-1,1)*'Member end forces'!$AN$14*U7*'Member end forces'!$C$4-'Member end forces'!$C$26*(U7*'Member end forces'!$C$4-'Member end forces'!$F$26))</f>
        <v>-0.6</v>
      </c>
      <c r="AA7" s="33">
        <f>IF(U7*'Member end forces'!$C$4&lt;='Member end forces'!$F$21-'Member end forces'!$I$21/2,0,IF(U7*'Member end forces'!$C$4&lt;='Member end forces'!$F$21+'Member end forces'!$I$21/2,-'Member end forces'!$C$21/2*(U7*'Member end forces'!$C$4-'Member end forces'!$F$21+'Member end forces'!$I$21/2)^2,-'Member end forces'!$C$21*'Member end forces'!$I$21*(U7*'Member end forces'!$C$4-'Member end forces'!$F$21)))</f>
        <v>0</v>
      </c>
      <c r="AB7" s="33">
        <f t="shared" si="7"/>
        <v>-0.6</v>
      </c>
      <c r="AC7" s="33">
        <f t="shared" si="8"/>
        <v>0.6</v>
      </c>
      <c r="AE7" s="37">
        <v>0.15</v>
      </c>
      <c r="AF7" s="33">
        <f>-'Member end forces'!$AP$15</f>
        <v>-34.054792299281814</v>
      </c>
      <c r="AG7" s="33">
        <f>IF(AE7*'Member end forces'!$C$5&lt;='Member end forces'!$F$27,IF($AE$1&lt;3,-1,1)*'Member end forces'!$AN$15,IF($AE$1&lt;3,-1,1)*'Member end forces'!$AN$15-'Member end forces'!$C$27)</f>
        <v>23.079884645907285</v>
      </c>
      <c r="AH7" s="33">
        <f>IF(AE7*'Member end forces'!$C$5&lt;='Member end forces'!$F$22-'Member end forces'!$I$22/2,0,IF(AE7*'Member end forces'!$C$5&lt;='Member end forces'!$F$22+'Member end forces'!$I$22/2,-'Member end forces'!$C$22*(AE7*'Member end forces'!$C$5-'Member end forces'!$F$22+'Member end forces'!$I$22/2),-'Member end forces'!$C$22*'Member end forces'!$I$22))</f>
        <v>0</v>
      </c>
      <c r="AI7" s="33">
        <f t="shared" si="9"/>
        <v>23.079884645907285</v>
      </c>
      <c r="AJ7" s="33">
        <f>IF(AE7*'Member end forces'!$C$5&lt;='Member end forces'!$F$27,-'Member end forces'!$AL$15+IF($AE$1&lt;3,-1,1)*'Member end forces'!$AN$15*AE7*'Member end forces'!$C$5,-'Member end forces'!$AL$15+IF($AE$1&lt;3,-1,1)*'Member end forces'!$AN$15*AE7*'Member end forces'!$C$5-'Member end forces'!$C$27*(AE7*'Member end forces'!$C$5-'Member end forces'!$F$27))</f>
        <v>6.1189485546421523</v>
      </c>
      <c r="AK7" s="33">
        <f>IF(AE7*'Member end forces'!$C$5&lt;='Member end forces'!$F$22-'Member end forces'!$I$22/2,0,IF(AE7*'Member end forces'!$C$5&lt;='Member end forces'!$F$22+'Member end forces'!$I$22/2,-'Member end forces'!$C$22/2*(AE7*'Member end forces'!$C$5-'Member end forces'!$F$22+'Member end forces'!$I$22/2)^2,-'Member end forces'!$C$22*'Member end forces'!$I$22*(AE7*'Member end forces'!$C$5-'Member end forces'!$F$22)))</f>
        <v>0</v>
      </c>
      <c r="AL7" s="33">
        <f t="shared" si="10"/>
        <v>6.1189485546421523</v>
      </c>
      <c r="AM7" s="33">
        <f t="shared" si="11"/>
        <v>-6.1189485546421523</v>
      </c>
      <c r="AO7" s="37">
        <v>0.15</v>
      </c>
      <c r="AP7" s="33">
        <f>-'Member end forces'!$AP$16</f>
        <v>0</v>
      </c>
      <c r="AQ7" s="33">
        <f>IF(AO7*'Member end forces'!$C$6&lt;='Member end forces'!$F$28,IF($AO$1&lt;3,-1,1)*'Member end forces'!$AN$16,IF($AO$1&lt;3,-1,1)*'Member end forces'!$AN$16-'Member end forces'!$C$28)</f>
        <v>20</v>
      </c>
      <c r="AR7" s="33">
        <f>IF(AO7*'Member end forces'!$C$6&lt;='Member end forces'!$F$23-'Member end forces'!$I$23/2,0,IF(AO7*'Member end forces'!$C$6&lt;='Member end forces'!$F$23+'Member end forces'!$I$23/2,-'Member end forces'!$C$23*(AO7*'Member end forces'!$C$6-'Member end forces'!$F$23+'Member end forces'!$I$23/2),-'Member end forces'!$C$23*'Member end forces'!$I$23))</f>
        <v>0</v>
      </c>
      <c r="AS7" s="33">
        <f t="shared" si="12"/>
        <v>20</v>
      </c>
      <c r="AT7" s="33">
        <f>IF(AO7*'Member end forces'!$C$6&lt;='Member end forces'!$F$28,-'Member end forces'!$AL$16+IF($AO$1&lt;3,-1,1)*'Member end forces'!$AN$16*AO7*'Member end forces'!$C$6,-'Member end forces'!$AL$16+IF($AO$1&lt;3,-1,1)*'Member end forces'!$AN$16*AO7*'Member end forces'!$C$6-'Member end forces'!$C$28*(AO7*'Member end forces'!$C$6-'Member end forces'!$F$28))</f>
        <v>-10.25</v>
      </c>
      <c r="AU7" s="33">
        <f>IF(AO7*'Member end forces'!$C$6&lt;='Member end forces'!$F$23-'Member end forces'!$I$23/2,0,IF(AO7*'Member end forces'!$C$6&lt;='Member end forces'!$F$23+'Member end forces'!$I$23/2,-'Member end forces'!$C$23/2*(AO7*'Member end forces'!$C$6-'Member end forces'!$F$23+'Member end forces'!$I$23/2)^2,-'Member end forces'!$C$23*'Member end forces'!$I$23*(AO7*'Member end forces'!$C$6-'Member end forces'!$F$23)))</f>
        <v>0</v>
      </c>
      <c r="AV7" s="33">
        <f t="shared" si="13"/>
        <v>-10.25</v>
      </c>
      <c r="AW7" s="33">
        <f t="shared" si="14"/>
        <v>10.25</v>
      </c>
    </row>
    <row r="8" spans="1:49" x14ac:dyDescent="0.25">
      <c r="A8" s="37">
        <v>0.2</v>
      </c>
      <c r="B8" s="33">
        <f>-'Member end forces'!$AP$12</f>
        <v>-30.079884645907285</v>
      </c>
      <c r="C8" s="33">
        <f>IF(A8*'Member end forces'!$C$2&lt;='Member end forces'!$F$24,IF($A$1&lt;3,-1,1)*'Member end forces'!$AN$12,IF($A$1&lt;3,-1,1)*'Member end forces'!$AN$12-'Member end forces'!$C$24)</f>
        <v>35.945207700718186</v>
      </c>
      <c r="D8" s="33">
        <f>IF(A8*'Member end forces'!$C$2&lt;='Member end forces'!$F$19-'Member end forces'!$I$19/2,0,IF(A8*'Member end forces'!$C$2&lt;='Member end forces'!$F$19+'Member end forces'!$I$19/2,-'Member end forces'!$C$19*(A8*'Member end forces'!$C$2-'Member end forces'!$F$19+'Member end forces'!$I$19/2),-'Member end forces'!$C$19*'Member end forces'!$I$19))</f>
        <v>0</v>
      </c>
      <c r="E8" s="33">
        <f t="shared" si="0"/>
        <v>35.945207700718186</v>
      </c>
      <c r="F8" s="33">
        <f>IF(A8*'Member end forces'!$C$2&lt;='Member end forces'!$F$24,-'Member end forces'!$AL$12+IF($A$1&lt;3,-1,1)*'Member end forces'!$AN$12*A8*'Member end forces'!$C$2,-'Member end forces'!$AL$12+IF($A$1&lt;3,-1,1)*'Member end forces'!$AN$12*A8*'Member end forces'!$C$2-'Member end forces'!$C$24*(A8*'Member end forces'!$C$2-'Member end forces'!$F$24))</f>
        <v>-19.71562957208652</v>
      </c>
      <c r="G8" s="33">
        <f>IF(A8*'Member end forces'!$C$2&lt;='Member end forces'!$F$19-'Member end forces'!$I$19/2,0,IF(A8*'Member end forces'!$C$2&lt;='Member end forces'!$F$19+'Member end forces'!$I$19/2,-'Member end forces'!$C$19/2*(A8*'Member end forces'!$C$2-'Member end forces'!$F$19+'Member end forces'!$I$19/2)^2,-'Member end forces'!$C$19*'Member end forces'!$I$19*(A8*'Member end forces'!$C$2-'Member end forces'!$F$19)))</f>
        <v>0</v>
      </c>
      <c r="H8" s="33">
        <f t="shared" si="1"/>
        <v>-19.71562957208652</v>
      </c>
      <c r="I8" s="33">
        <f t="shared" si="2"/>
        <v>19.71562957208652</v>
      </c>
      <c r="K8" s="37">
        <v>0.2</v>
      </c>
      <c r="L8" s="33">
        <f>-'Member end forces'!$AP$13</f>
        <v>-61.920115354092715</v>
      </c>
      <c r="M8" s="33">
        <f>IF(K8*'Member end forces'!$C$3&lt;='Member end forces'!$F$25,IF($K$1&lt;3,-1,1)*'Member end forces'!$AN$13,IF($K$1&lt;3,-1,1)*'Member end forces'!$AN$13-'Member end forces'!$C$25)</f>
        <v>64.054792299281814</v>
      </c>
      <c r="N8" s="33">
        <f>IF(K8*'Member end forces'!$C$3&lt;='Member end forces'!$F$20-'Member end forces'!$I$20/2,0,IF(K8*'Member end forces'!$C$3&lt;='Member end forces'!$F$20+'Member end forces'!$I$20/2,-'Member end forces'!$C$20*(K8*'Member end forces'!$C$3-'Member end forces'!$F$20+'Member end forces'!$I$20/2),-'Member end forces'!$C$20*'Member end forces'!$I$20))</f>
        <v>0</v>
      </c>
      <c r="O8" s="33">
        <f t="shared" si="3"/>
        <v>64.054792299281814</v>
      </c>
      <c r="P8" s="33">
        <f>IF(K8*'Member end forces'!$C$3&lt;='Member end forces'!$F$25,-'Member end forces'!$AL$13+IF($K$1&lt;3,-1,1)*'Member end forces'!$AN$13*K8*'Member end forces'!$C$3,-'Member end forces'!$AL$13+IF($K$1&lt;3,-1,1)*'Member end forces'!$AN$13*K8*'Member end forces'!$C$3-'Member end forces'!$C$25*(K8*'Member end forces'!$C$3-'Member end forces'!$F$25))</f>
        <v>-54.189959818024462</v>
      </c>
      <c r="Q8" s="33">
        <f>IF(K8*'Member end forces'!$C$3&lt;='Member end forces'!$F$20-'Member end forces'!$I$20/2,0,IF(K8*'Member end forces'!$C$3&lt;='Member end forces'!$F$20+'Member end forces'!$I$20/2,-'Member end forces'!$C$20/2*(K8*'Member end forces'!$C$3-'Member end forces'!$F$20+'Member end forces'!$I$20/2)^2,-'Member end forces'!$C$20*'Member end forces'!$I$20*(K8*'Member end forces'!$C$3-'Member end forces'!$F$20)))</f>
        <v>0</v>
      </c>
      <c r="R8" s="33">
        <f t="shared" si="4"/>
        <v>-54.189959818024462</v>
      </c>
      <c r="S8" s="33">
        <f t="shared" si="5"/>
        <v>54.189959818024462</v>
      </c>
      <c r="U8" s="37">
        <v>0.2</v>
      </c>
      <c r="V8" s="33">
        <f>-'Member end forces'!$AP$14</f>
        <v>0</v>
      </c>
      <c r="W8" s="33">
        <f>IF(U8*'Member end forces'!$C$4&lt;='Member end forces'!$F$26,IF($U$1&lt;3,-1,1)*'Member end forces'!$AN$14,IF($U$1&lt;3,-1,1)*'Member end forces'!$AN$14-'Member end forces'!$C$26)</f>
        <v>-2</v>
      </c>
      <c r="X8" s="33">
        <f>IF(U8*'Member end forces'!$C$4&lt;='Member end forces'!$F$21-'Member end forces'!$I$21/2,0,IF(U8*'Member end forces'!$C$4&lt;='Member end forces'!$F$21+'Member end forces'!$I$21/2,-'Member end forces'!$C$21*(U8*'Member end forces'!$C$4-'Member end forces'!$F$21+'Member end forces'!$I$21/2),-'Member end forces'!$C$21*'Member end forces'!$I$21))</f>
        <v>0</v>
      </c>
      <c r="Y8" s="33">
        <f t="shared" si="6"/>
        <v>-2</v>
      </c>
      <c r="Z8" s="33">
        <f>IF(U8*'Member end forces'!$C$4&lt;='Member end forces'!$F$26,-'Member end forces'!$AL$14+IF($U$1&lt;3,-1,1)*'Member end forces'!$AN$14*U8*'Member end forces'!$C$4,-'Member end forces'!$AL$14+IF($U$1&lt;3,-1,1)*'Member end forces'!$AN$14*U8*'Member end forces'!$C$4-'Member end forces'!$C$26*(U8*'Member end forces'!$C$4-'Member end forces'!$F$26))</f>
        <v>-0.8</v>
      </c>
      <c r="AA8" s="33">
        <f>IF(U8*'Member end forces'!$C$4&lt;='Member end forces'!$F$21-'Member end forces'!$I$21/2,0,IF(U8*'Member end forces'!$C$4&lt;='Member end forces'!$F$21+'Member end forces'!$I$21/2,-'Member end forces'!$C$21/2*(U8*'Member end forces'!$C$4-'Member end forces'!$F$21+'Member end forces'!$I$21/2)^2,-'Member end forces'!$C$21*'Member end forces'!$I$21*(U8*'Member end forces'!$C$4-'Member end forces'!$F$21)))</f>
        <v>0</v>
      </c>
      <c r="AB8" s="33">
        <f t="shared" si="7"/>
        <v>-0.8</v>
      </c>
      <c r="AC8" s="33">
        <f t="shared" si="8"/>
        <v>0.8</v>
      </c>
      <c r="AE8" s="37">
        <v>0.2</v>
      </c>
      <c r="AF8" s="33">
        <f>-'Member end forces'!$AP$15</f>
        <v>-34.054792299281814</v>
      </c>
      <c r="AG8" s="33">
        <f>IF(AE8*'Member end forces'!$C$5&lt;='Member end forces'!$F$27,IF($AE$1&lt;3,-1,1)*'Member end forces'!$AN$15,IF($AE$1&lt;3,-1,1)*'Member end forces'!$AN$15-'Member end forces'!$C$27)</f>
        <v>23.079884645907285</v>
      </c>
      <c r="AH8" s="33">
        <f>IF(AE8*'Member end forces'!$C$5&lt;='Member end forces'!$F$22-'Member end forces'!$I$22/2,0,IF(AE8*'Member end forces'!$C$5&lt;='Member end forces'!$F$22+'Member end forces'!$I$22/2,-'Member end forces'!$C$22*(AE8*'Member end forces'!$C$5-'Member end forces'!$F$22+'Member end forces'!$I$22/2),-'Member end forces'!$C$22*'Member end forces'!$I$22))</f>
        <v>0</v>
      </c>
      <c r="AI8" s="33">
        <f t="shared" si="9"/>
        <v>23.079884645907285</v>
      </c>
      <c r="AJ8" s="33">
        <f>IF(AE8*'Member end forces'!$C$5&lt;='Member end forces'!$F$27,-'Member end forces'!$AL$15+IF($AE$1&lt;3,-1,1)*'Member end forces'!$AN$15*AE8*'Member end forces'!$C$5,-'Member end forces'!$AL$15+IF($AE$1&lt;3,-1,1)*'Member end forces'!$AN$15*AE8*'Member end forces'!$C$5-'Member end forces'!$C$27*(AE8*'Member end forces'!$C$5-'Member end forces'!$F$27))</f>
        <v>11.888919716118973</v>
      </c>
      <c r="AK8" s="33">
        <f>IF(AE8*'Member end forces'!$C$5&lt;='Member end forces'!$F$22-'Member end forces'!$I$22/2,0,IF(AE8*'Member end forces'!$C$5&lt;='Member end forces'!$F$22+'Member end forces'!$I$22/2,-'Member end forces'!$C$22/2*(AE8*'Member end forces'!$C$5-'Member end forces'!$F$22+'Member end forces'!$I$22/2)^2,-'Member end forces'!$C$22*'Member end forces'!$I$22*(AE8*'Member end forces'!$C$5-'Member end forces'!$F$22)))</f>
        <v>0</v>
      </c>
      <c r="AL8" s="33">
        <f t="shared" si="10"/>
        <v>11.888919716118973</v>
      </c>
      <c r="AM8" s="33">
        <f t="shared" si="11"/>
        <v>-11.888919716118973</v>
      </c>
      <c r="AO8" s="37">
        <v>0.2</v>
      </c>
      <c r="AP8" s="33">
        <f>-'Member end forces'!$AP$16</f>
        <v>0</v>
      </c>
      <c r="AQ8" s="33">
        <f>IF(AO8*'Member end forces'!$C$6&lt;='Member end forces'!$F$28,IF($AO$1&lt;3,-1,1)*'Member end forces'!$AN$16,IF($AO$1&lt;3,-1,1)*'Member end forces'!$AN$16-'Member end forces'!$C$28)</f>
        <v>20</v>
      </c>
      <c r="AR8" s="33">
        <f>IF(AO8*'Member end forces'!$C$6&lt;='Member end forces'!$F$23-'Member end forces'!$I$23/2,0,IF(AO8*'Member end forces'!$C$6&lt;='Member end forces'!$F$23+'Member end forces'!$I$23/2,-'Member end forces'!$C$23*(AO8*'Member end forces'!$C$6-'Member end forces'!$F$23+'Member end forces'!$I$23/2),-'Member end forces'!$C$23*'Member end forces'!$I$23))</f>
        <v>0</v>
      </c>
      <c r="AS8" s="33">
        <f t="shared" si="12"/>
        <v>20</v>
      </c>
      <c r="AT8" s="33">
        <f>IF(AO8*'Member end forces'!$C$6&lt;='Member end forces'!$F$28,-'Member end forces'!$AL$16+IF($AO$1&lt;3,-1,1)*'Member end forces'!$AN$16*AO8*'Member end forces'!$C$6,-'Member end forces'!$AL$16+IF($AO$1&lt;3,-1,1)*'Member end forces'!$AN$16*AO8*'Member end forces'!$C$6-'Member end forces'!$C$28*(AO8*'Member end forces'!$C$6-'Member end forces'!$F$28))</f>
        <v>-8.25</v>
      </c>
      <c r="AU8" s="33">
        <f>IF(AO8*'Member end forces'!$C$6&lt;='Member end forces'!$F$23-'Member end forces'!$I$23/2,0,IF(AO8*'Member end forces'!$C$6&lt;='Member end forces'!$F$23+'Member end forces'!$I$23/2,-'Member end forces'!$C$23/2*(AO8*'Member end forces'!$C$6-'Member end forces'!$F$23+'Member end forces'!$I$23/2)^2,-'Member end forces'!$C$23*'Member end forces'!$I$23*(AO8*'Member end forces'!$C$6-'Member end forces'!$F$23)))</f>
        <v>0</v>
      </c>
      <c r="AV8" s="33">
        <f t="shared" si="13"/>
        <v>-8.25</v>
      </c>
      <c r="AW8" s="33">
        <f t="shared" si="14"/>
        <v>8.25</v>
      </c>
    </row>
    <row r="9" spans="1:49" x14ac:dyDescent="0.25">
      <c r="A9" s="37">
        <v>0.25</v>
      </c>
      <c r="B9" s="33">
        <f>-'Member end forces'!$AP$12</f>
        <v>-30.079884645907285</v>
      </c>
      <c r="C9" s="33">
        <f>IF(A9*'Member end forces'!$C$2&lt;='Member end forces'!$F$24,IF($A$1&lt;3,-1,1)*'Member end forces'!$AN$12,IF($A$1&lt;3,-1,1)*'Member end forces'!$AN$12-'Member end forces'!$C$24)</f>
        <v>35.945207700718186</v>
      </c>
      <c r="D9" s="33">
        <f>IF(A9*'Member end forces'!$C$2&lt;='Member end forces'!$F$19-'Member end forces'!$I$19/2,0,IF(A9*'Member end forces'!$C$2&lt;='Member end forces'!$F$19+'Member end forces'!$I$19/2,-'Member end forces'!$C$19*(A9*'Member end forces'!$C$2-'Member end forces'!$F$19+'Member end forces'!$I$19/2),-'Member end forces'!$C$19*'Member end forces'!$I$19))</f>
        <v>0</v>
      </c>
      <c r="E9" s="33">
        <f t="shared" si="0"/>
        <v>35.945207700718186</v>
      </c>
      <c r="F9" s="33">
        <f>IF(A9*'Member end forces'!$C$2&lt;='Member end forces'!$F$24,-'Member end forces'!$AL$12+IF($A$1&lt;3,-1,1)*'Member end forces'!$AN$12*A9*'Member end forces'!$C$2,-'Member end forces'!$AL$12+IF($A$1&lt;3,-1,1)*'Member end forces'!$AN$12*A9*'Member end forces'!$C$2-'Member end forces'!$C$24*(A9*'Member end forces'!$C$2-'Member end forces'!$F$24))</f>
        <v>-12.526588031942886</v>
      </c>
      <c r="G9" s="33">
        <f>IF(A9*'Member end forces'!$C$2&lt;='Member end forces'!$F$19-'Member end forces'!$I$19/2,0,IF(A9*'Member end forces'!$C$2&lt;='Member end forces'!$F$19+'Member end forces'!$I$19/2,-'Member end forces'!$C$19/2*(A9*'Member end forces'!$C$2-'Member end forces'!$F$19+'Member end forces'!$I$19/2)^2,-'Member end forces'!$C$19*'Member end forces'!$I$19*(A9*'Member end forces'!$C$2-'Member end forces'!$F$19)))</f>
        <v>0</v>
      </c>
      <c r="H9" s="33">
        <f t="shared" si="1"/>
        <v>-12.526588031942886</v>
      </c>
      <c r="I9" s="33">
        <f t="shared" si="2"/>
        <v>12.526588031942886</v>
      </c>
      <c r="K9" s="37">
        <v>0.25</v>
      </c>
      <c r="L9" s="33">
        <f>-'Member end forces'!$AP$13</f>
        <v>-61.920115354092715</v>
      </c>
      <c r="M9" s="33">
        <f>IF(K9*'Member end forces'!$C$3&lt;='Member end forces'!$F$25,IF($K$1&lt;3,-1,1)*'Member end forces'!$AN$13,IF($K$1&lt;3,-1,1)*'Member end forces'!$AN$13-'Member end forces'!$C$25)</f>
        <v>64.054792299281814</v>
      </c>
      <c r="N9" s="33">
        <f>IF(K9*'Member end forces'!$C$3&lt;='Member end forces'!$F$20-'Member end forces'!$I$20/2,0,IF(K9*'Member end forces'!$C$3&lt;='Member end forces'!$F$20+'Member end forces'!$I$20/2,-'Member end forces'!$C$20*(K9*'Member end forces'!$C$3-'Member end forces'!$F$20+'Member end forces'!$I$20/2),-'Member end forces'!$C$20*'Member end forces'!$I$20))</f>
        <v>0</v>
      </c>
      <c r="O9" s="33">
        <f t="shared" si="3"/>
        <v>64.054792299281814</v>
      </c>
      <c r="P9" s="33">
        <f>IF(K9*'Member end forces'!$C$3&lt;='Member end forces'!$F$25,-'Member end forces'!$AL$13+IF($K$1&lt;3,-1,1)*'Member end forces'!$AN$13*K9*'Member end forces'!$C$3,-'Member end forces'!$AL$13+IF($K$1&lt;3,-1,1)*'Member end forces'!$AN$13*K9*'Member end forces'!$C$3-'Member end forces'!$C$25*(K9*'Member end forces'!$C$3-'Member end forces'!$F$25))</f>
        <v>-44.581740973132185</v>
      </c>
      <c r="Q9" s="33">
        <f>IF(K9*'Member end forces'!$C$3&lt;='Member end forces'!$F$20-'Member end forces'!$I$20/2,0,IF(K9*'Member end forces'!$C$3&lt;='Member end forces'!$F$20+'Member end forces'!$I$20/2,-'Member end forces'!$C$20/2*(K9*'Member end forces'!$C$3-'Member end forces'!$F$20+'Member end forces'!$I$20/2)^2,-'Member end forces'!$C$20*'Member end forces'!$I$20*(K9*'Member end forces'!$C$3-'Member end forces'!$F$20)))</f>
        <v>0</v>
      </c>
      <c r="R9" s="33">
        <f t="shared" si="4"/>
        <v>-44.581740973132185</v>
      </c>
      <c r="S9" s="33">
        <f t="shared" si="5"/>
        <v>44.581740973132185</v>
      </c>
      <c r="U9" s="37">
        <v>0.25</v>
      </c>
      <c r="V9" s="33">
        <f>-'Member end forces'!$AP$14</f>
        <v>0</v>
      </c>
      <c r="W9" s="33">
        <f>IF(U9*'Member end forces'!$C$4&lt;='Member end forces'!$F$26,IF($U$1&lt;3,-1,1)*'Member end forces'!$AN$14,IF($U$1&lt;3,-1,1)*'Member end forces'!$AN$14-'Member end forces'!$C$26)</f>
        <v>-2</v>
      </c>
      <c r="X9" s="33">
        <f>IF(U9*'Member end forces'!$C$4&lt;='Member end forces'!$F$21-'Member end forces'!$I$21/2,0,IF(U9*'Member end forces'!$C$4&lt;='Member end forces'!$F$21+'Member end forces'!$I$21/2,-'Member end forces'!$C$21*(U9*'Member end forces'!$C$4-'Member end forces'!$F$21+'Member end forces'!$I$21/2),-'Member end forces'!$C$21*'Member end forces'!$I$21))</f>
        <v>0</v>
      </c>
      <c r="Y9" s="33">
        <f t="shared" si="6"/>
        <v>-2</v>
      </c>
      <c r="Z9" s="33">
        <f>IF(U9*'Member end forces'!$C$4&lt;='Member end forces'!$F$26,-'Member end forces'!$AL$14+IF($U$1&lt;3,-1,1)*'Member end forces'!$AN$14*U9*'Member end forces'!$C$4,-'Member end forces'!$AL$14+IF($U$1&lt;3,-1,1)*'Member end forces'!$AN$14*U9*'Member end forces'!$C$4-'Member end forces'!$C$26*(U9*'Member end forces'!$C$4-'Member end forces'!$F$26))</f>
        <v>-1</v>
      </c>
      <c r="AA9" s="33">
        <f>IF(U9*'Member end forces'!$C$4&lt;='Member end forces'!$F$21-'Member end forces'!$I$21/2,0,IF(U9*'Member end forces'!$C$4&lt;='Member end forces'!$F$21+'Member end forces'!$I$21/2,-'Member end forces'!$C$21/2*(U9*'Member end forces'!$C$4-'Member end forces'!$F$21+'Member end forces'!$I$21/2)^2,-'Member end forces'!$C$21*'Member end forces'!$I$21*(U9*'Member end forces'!$C$4-'Member end forces'!$F$21)))</f>
        <v>0</v>
      </c>
      <c r="AB9" s="33">
        <f t="shared" si="7"/>
        <v>-1</v>
      </c>
      <c r="AC9" s="33">
        <f t="shared" si="8"/>
        <v>1</v>
      </c>
      <c r="AE9" s="37">
        <v>0.25</v>
      </c>
      <c r="AF9" s="33">
        <f>-'Member end forces'!$AP$15</f>
        <v>-34.054792299281814</v>
      </c>
      <c r="AG9" s="33">
        <f>IF(AE9*'Member end forces'!$C$5&lt;='Member end forces'!$F$27,IF($AE$1&lt;3,-1,1)*'Member end forces'!$AN$15,IF($AE$1&lt;3,-1,1)*'Member end forces'!$AN$15-'Member end forces'!$C$27)</f>
        <v>23.079884645907285</v>
      </c>
      <c r="AH9" s="33">
        <f>IF(AE9*'Member end forces'!$C$5&lt;='Member end forces'!$F$22-'Member end forces'!$I$22/2,0,IF(AE9*'Member end forces'!$C$5&lt;='Member end forces'!$F$22+'Member end forces'!$I$22/2,-'Member end forces'!$C$22*(AE9*'Member end forces'!$C$5-'Member end forces'!$F$22+'Member end forces'!$I$22/2),-'Member end forces'!$C$22*'Member end forces'!$I$22))</f>
        <v>-3.75</v>
      </c>
      <c r="AI9" s="33">
        <f t="shared" si="9"/>
        <v>19.329884645907285</v>
      </c>
      <c r="AJ9" s="33">
        <f>IF(AE9*'Member end forces'!$C$5&lt;='Member end forces'!$F$27,-'Member end forces'!$AL$15+IF($AE$1&lt;3,-1,1)*'Member end forces'!$AN$15*AE9*'Member end forces'!$C$5,-'Member end forces'!$AL$15+IF($AE$1&lt;3,-1,1)*'Member end forces'!$AN$15*AE9*'Member end forces'!$C$5-'Member end forces'!$C$27*(AE9*'Member end forces'!$C$5-'Member end forces'!$F$27))</f>
        <v>17.658890877595795</v>
      </c>
      <c r="AK9" s="33">
        <f>IF(AE9*'Member end forces'!$C$5&lt;='Member end forces'!$F$22-'Member end forces'!$I$22/2,0,IF(AE9*'Member end forces'!$C$5&lt;='Member end forces'!$F$22+'Member end forces'!$I$22/2,-'Member end forces'!$C$22/2*(AE9*'Member end forces'!$C$5-'Member end forces'!$F$22+'Member end forces'!$I$22/2)^2,-'Member end forces'!$C$22*'Member end forces'!$I$22*(AE9*'Member end forces'!$C$5-'Member end forces'!$F$22)))</f>
        <v>-0.46875</v>
      </c>
      <c r="AL9" s="33">
        <f t="shared" si="10"/>
        <v>17.190140877595795</v>
      </c>
      <c r="AM9" s="33">
        <f t="shared" si="11"/>
        <v>-17.190140877595795</v>
      </c>
      <c r="AO9" s="37">
        <v>0.25</v>
      </c>
      <c r="AP9" s="33">
        <f>-'Member end forces'!$AP$16</f>
        <v>0</v>
      </c>
      <c r="AQ9" s="33">
        <f>IF(AO9*'Member end forces'!$C$6&lt;='Member end forces'!$F$28,IF($AO$1&lt;3,-1,1)*'Member end forces'!$AN$16,IF($AO$1&lt;3,-1,1)*'Member end forces'!$AN$16-'Member end forces'!$C$28)</f>
        <v>20</v>
      </c>
      <c r="AR9" s="33">
        <f>IF(AO9*'Member end forces'!$C$6&lt;='Member end forces'!$F$23-'Member end forces'!$I$23/2,0,IF(AO9*'Member end forces'!$C$6&lt;='Member end forces'!$F$23+'Member end forces'!$I$23/2,-'Member end forces'!$C$23*(AO9*'Member end forces'!$C$6-'Member end forces'!$F$23+'Member end forces'!$I$23/2),-'Member end forces'!$C$23*'Member end forces'!$I$23))</f>
        <v>0</v>
      </c>
      <c r="AS9" s="33">
        <f t="shared" si="12"/>
        <v>20</v>
      </c>
      <c r="AT9" s="33">
        <f>IF(AO9*'Member end forces'!$C$6&lt;='Member end forces'!$F$28,-'Member end forces'!$AL$16+IF($AO$1&lt;3,-1,1)*'Member end forces'!$AN$16*AO9*'Member end forces'!$C$6,-'Member end forces'!$AL$16+IF($AO$1&lt;3,-1,1)*'Member end forces'!$AN$16*AO9*'Member end forces'!$C$6-'Member end forces'!$C$28*(AO9*'Member end forces'!$C$6-'Member end forces'!$F$28))</f>
        <v>-6.25</v>
      </c>
      <c r="AU9" s="33">
        <f>IF(AO9*'Member end forces'!$C$6&lt;='Member end forces'!$F$23-'Member end forces'!$I$23/2,0,IF(AO9*'Member end forces'!$C$6&lt;='Member end forces'!$F$23+'Member end forces'!$I$23/2,-'Member end forces'!$C$23/2*(AO9*'Member end forces'!$C$6-'Member end forces'!$F$23+'Member end forces'!$I$23/2)^2,-'Member end forces'!$C$23*'Member end forces'!$I$23*(AO9*'Member end forces'!$C$6-'Member end forces'!$F$23)))</f>
        <v>0</v>
      </c>
      <c r="AV9" s="33">
        <f t="shared" si="13"/>
        <v>-6.25</v>
      </c>
      <c r="AW9" s="33">
        <f t="shared" si="14"/>
        <v>6.25</v>
      </c>
    </row>
    <row r="10" spans="1:49" x14ac:dyDescent="0.25">
      <c r="A10" s="37">
        <v>0.3</v>
      </c>
      <c r="B10" s="33">
        <f>-'Member end forces'!$AP$12</f>
        <v>-30.079884645907285</v>
      </c>
      <c r="C10" s="33">
        <f>IF(A10*'Member end forces'!$C$2&lt;='Member end forces'!$F$24,IF($A$1&lt;3,-1,1)*'Member end forces'!$AN$12,IF($A$1&lt;3,-1,1)*'Member end forces'!$AN$12-'Member end forces'!$C$24)</f>
        <v>35.945207700718186</v>
      </c>
      <c r="D10" s="33">
        <f>IF(A10*'Member end forces'!$C$2&lt;='Member end forces'!$F$19-'Member end forces'!$I$19/2,0,IF(A10*'Member end forces'!$C$2&lt;='Member end forces'!$F$19+'Member end forces'!$I$19/2,-'Member end forces'!$C$19*(A10*'Member end forces'!$C$2-'Member end forces'!$F$19+'Member end forces'!$I$19/2),-'Member end forces'!$C$19*'Member end forces'!$I$19))</f>
        <v>-3.9999999999999991</v>
      </c>
      <c r="E10" s="33">
        <f t="shared" si="0"/>
        <v>31.945207700718186</v>
      </c>
      <c r="F10" s="33">
        <f>IF(A10*'Member end forces'!$C$2&lt;='Member end forces'!$F$24,-'Member end forces'!$AL$12+IF($A$1&lt;3,-1,1)*'Member end forces'!$AN$12*A10*'Member end forces'!$C$2,-'Member end forces'!$AL$12+IF($A$1&lt;3,-1,1)*'Member end forces'!$AN$12*A10*'Member end forces'!$C$2-'Member end forces'!$C$24*(A10*'Member end forces'!$C$2-'Member end forces'!$F$24))</f>
        <v>-5.3375464917992517</v>
      </c>
      <c r="G10" s="33">
        <f>IF(A10*'Member end forces'!$C$2&lt;='Member end forces'!$F$19-'Member end forces'!$I$19/2,0,IF(A10*'Member end forces'!$C$2&lt;='Member end forces'!$F$19+'Member end forces'!$I$19/2,-'Member end forces'!$C$19/2*(A10*'Member end forces'!$C$2-'Member end forces'!$F$19+'Member end forces'!$I$19/2)^2,-'Member end forces'!$C$19*'Member end forces'!$I$19*(A10*'Member end forces'!$C$2-'Member end forces'!$F$19)))</f>
        <v>-0.3999999999999998</v>
      </c>
      <c r="H10" s="33">
        <f t="shared" si="1"/>
        <v>-5.7375464917992511</v>
      </c>
      <c r="I10" s="33">
        <f t="shared" si="2"/>
        <v>5.7375464917992511</v>
      </c>
      <c r="K10" s="37">
        <v>0.3</v>
      </c>
      <c r="L10" s="33">
        <f>-'Member end forces'!$AP$13</f>
        <v>-61.920115354092715</v>
      </c>
      <c r="M10" s="33">
        <f>IF(K10*'Member end forces'!$C$3&lt;='Member end forces'!$F$25,IF($K$1&lt;3,-1,1)*'Member end forces'!$AN$13,IF($K$1&lt;3,-1,1)*'Member end forces'!$AN$13-'Member end forces'!$C$25)</f>
        <v>64.054792299281814</v>
      </c>
      <c r="N10" s="33">
        <f>IF(K10*'Member end forces'!$C$3&lt;='Member end forces'!$F$20-'Member end forces'!$I$20/2,0,IF(K10*'Member end forces'!$C$3&lt;='Member end forces'!$F$20+'Member end forces'!$I$20/2,-'Member end forces'!$C$20*(K10*'Member end forces'!$C$3-'Member end forces'!$F$20+'Member end forces'!$I$20/2),-'Member end forces'!$C$20*'Member end forces'!$I$20))</f>
        <v>0</v>
      </c>
      <c r="O10" s="33">
        <f t="shared" si="3"/>
        <v>64.054792299281814</v>
      </c>
      <c r="P10" s="33">
        <f>IF(K10*'Member end forces'!$C$3&lt;='Member end forces'!$F$25,-'Member end forces'!$AL$13+IF($K$1&lt;3,-1,1)*'Member end forces'!$AN$13*K10*'Member end forces'!$C$3,-'Member end forces'!$AL$13+IF($K$1&lt;3,-1,1)*'Member end forces'!$AN$13*K10*'Member end forces'!$C$3-'Member end forces'!$C$25*(K10*'Member end forces'!$C$3-'Member end forces'!$F$25))</f>
        <v>-34.973522128239907</v>
      </c>
      <c r="Q10" s="33">
        <f>IF(K10*'Member end forces'!$C$3&lt;='Member end forces'!$F$20-'Member end forces'!$I$20/2,0,IF(K10*'Member end forces'!$C$3&lt;='Member end forces'!$F$20+'Member end forces'!$I$20/2,-'Member end forces'!$C$20/2*(K10*'Member end forces'!$C$3-'Member end forces'!$F$20+'Member end forces'!$I$20/2)^2,-'Member end forces'!$C$20*'Member end forces'!$I$20*(K10*'Member end forces'!$C$3-'Member end forces'!$F$20)))</f>
        <v>0</v>
      </c>
      <c r="R10" s="33">
        <f t="shared" si="4"/>
        <v>-34.973522128239907</v>
      </c>
      <c r="S10" s="33">
        <f t="shared" si="5"/>
        <v>34.973522128239907</v>
      </c>
      <c r="U10" s="37">
        <v>0.3</v>
      </c>
      <c r="V10" s="33">
        <f>-'Member end forces'!$AP$14</f>
        <v>0</v>
      </c>
      <c r="W10" s="33">
        <f>IF(U10*'Member end forces'!$C$4&lt;='Member end forces'!$F$26,IF($U$1&lt;3,-1,1)*'Member end forces'!$AN$14,IF($U$1&lt;3,-1,1)*'Member end forces'!$AN$14-'Member end forces'!$C$26)</f>
        <v>-2</v>
      </c>
      <c r="X10" s="33">
        <f>IF(U10*'Member end forces'!$C$4&lt;='Member end forces'!$F$21-'Member end forces'!$I$21/2,0,IF(U10*'Member end forces'!$C$4&lt;='Member end forces'!$F$21+'Member end forces'!$I$21/2,-'Member end forces'!$C$21*(U10*'Member end forces'!$C$4-'Member end forces'!$F$21+'Member end forces'!$I$21/2),-'Member end forces'!$C$21*'Member end forces'!$I$21))</f>
        <v>0</v>
      </c>
      <c r="Y10" s="33">
        <f t="shared" si="6"/>
        <v>-2</v>
      </c>
      <c r="Z10" s="33">
        <f>IF(U10*'Member end forces'!$C$4&lt;='Member end forces'!$F$26,-'Member end forces'!$AL$14+IF($U$1&lt;3,-1,1)*'Member end forces'!$AN$14*U10*'Member end forces'!$C$4,-'Member end forces'!$AL$14+IF($U$1&lt;3,-1,1)*'Member end forces'!$AN$14*U10*'Member end forces'!$C$4-'Member end forces'!$C$26*(U10*'Member end forces'!$C$4-'Member end forces'!$F$26))</f>
        <v>-1.2</v>
      </c>
      <c r="AA10" s="33">
        <f>IF(U10*'Member end forces'!$C$4&lt;='Member end forces'!$F$21-'Member end forces'!$I$21/2,0,IF(U10*'Member end forces'!$C$4&lt;='Member end forces'!$F$21+'Member end forces'!$I$21/2,-'Member end forces'!$C$21/2*(U10*'Member end forces'!$C$4-'Member end forces'!$F$21+'Member end forces'!$I$21/2)^2,-'Member end forces'!$C$21*'Member end forces'!$I$21*(U10*'Member end forces'!$C$4-'Member end forces'!$F$21)))</f>
        <v>0</v>
      </c>
      <c r="AB10" s="33">
        <f t="shared" si="7"/>
        <v>-1.2</v>
      </c>
      <c r="AC10" s="33">
        <f t="shared" si="8"/>
        <v>1.2</v>
      </c>
      <c r="AE10" s="37">
        <v>0.3</v>
      </c>
      <c r="AF10" s="33">
        <f>-'Member end forces'!$AP$15</f>
        <v>-34.054792299281814</v>
      </c>
      <c r="AG10" s="33">
        <f>IF(AE10*'Member end forces'!$C$5&lt;='Member end forces'!$F$27,IF($AE$1&lt;3,-1,1)*'Member end forces'!$AN$15,IF($AE$1&lt;3,-1,1)*'Member end forces'!$AN$15-'Member end forces'!$C$27)</f>
        <v>23.079884645907285</v>
      </c>
      <c r="AH10" s="33">
        <f>IF(AE10*'Member end forces'!$C$5&lt;='Member end forces'!$F$22-'Member end forces'!$I$22/2,0,IF(AE10*'Member end forces'!$C$5&lt;='Member end forces'!$F$22+'Member end forces'!$I$22/2,-'Member end forces'!$C$22*(AE10*'Member end forces'!$C$5-'Member end forces'!$F$22+'Member end forces'!$I$22/2),-'Member end forces'!$C$22*'Member end forces'!$I$22))</f>
        <v>-7.5</v>
      </c>
      <c r="AI10" s="33">
        <f t="shared" si="9"/>
        <v>15.579884645907285</v>
      </c>
      <c r="AJ10" s="33">
        <f>IF(AE10*'Member end forces'!$C$5&lt;='Member end forces'!$F$27,-'Member end forces'!$AL$15+IF($AE$1&lt;3,-1,1)*'Member end forces'!$AN$15*AE10*'Member end forces'!$C$5,-'Member end forces'!$AL$15+IF($AE$1&lt;3,-1,1)*'Member end forces'!$AN$15*AE10*'Member end forces'!$C$5-'Member end forces'!$C$27*(AE10*'Member end forces'!$C$5-'Member end forces'!$F$27))</f>
        <v>23.428862039072616</v>
      </c>
      <c r="AK10" s="33">
        <f>IF(AE10*'Member end forces'!$C$5&lt;='Member end forces'!$F$22-'Member end forces'!$I$22/2,0,IF(AE10*'Member end forces'!$C$5&lt;='Member end forces'!$F$22+'Member end forces'!$I$22/2,-'Member end forces'!$C$22/2*(AE10*'Member end forces'!$C$5-'Member end forces'!$F$22+'Member end forces'!$I$22/2)^2,-'Member end forces'!$C$22*'Member end forces'!$I$22*(AE10*'Member end forces'!$C$5-'Member end forces'!$F$22)))</f>
        <v>-1.875</v>
      </c>
      <c r="AL10" s="33">
        <f t="shared" si="10"/>
        <v>21.553862039072616</v>
      </c>
      <c r="AM10" s="33">
        <f t="shared" si="11"/>
        <v>-21.553862039072616</v>
      </c>
      <c r="AO10" s="37">
        <v>0.3</v>
      </c>
      <c r="AP10" s="33">
        <f>-'Member end forces'!$AP$16</f>
        <v>0</v>
      </c>
      <c r="AQ10" s="33">
        <f>IF(AO10*'Member end forces'!$C$6&lt;='Member end forces'!$F$28,IF($AO$1&lt;3,-1,1)*'Member end forces'!$AN$16,IF($AO$1&lt;3,-1,1)*'Member end forces'!$AN$16-'Member end forces'!$C$28)</f>
        <v>5</v>
      </c>
      <c r="AR10" s="33">
        <f>IF(AO10*'Member end forces'!$C$6&lt;='Member end forces'!$F$23-'Member end forces'!$I$23/2,0,IF(AO10*'Member end forces'!$C$6&lt;='Member end forces'!$F$23+'Member end forces'!$I$23/2,-'Member end forces'!$C$23*(AO10*'Member end forces'!$C$6-'Member end forces'!$F$23+'Member end forces'!$I$23/2),-'Member end forces'!$C$23*'Member end forces'!$I$23))</f>
        <v>0</v>
      </c>
      <c r="AS10" s="33">
        <f t="shared" si="12"/>
        <v>5</v>
      </c>
      <c r="AT10" s="33">
        <f>IF(AO10*'Member end forces'!$C$6&lt;='Member end forces'!$F$28,-'Member end forces'!$AL$16+IF($AO$1&lt;3,-1,1)*'Member end forces'!$AN$16*AO10*'Member end forces'!$C$6,-'Member end forces'!$AL$16+IF($AO$1&lt;3,-1,1)*'Member end forces'!$AN$16*AO10*'Member end forces'!$C$6-'Member end forces'!$C$28*(AO10*'Member end forces'!$C$6-'Member end forces'!$F$28))</f>
        <v>-5.75</v>
      </c>
      <c r="AU10" s="33">
        <f>IF(AO10*'Member end forces'!$C$6&lt;='Member end forces'!$F$23-'Member end forces'!$I$23/2,0,IF(AO10*'Member end forces'!$C$6&lt;='Member end forces'!$F$23+'Member end forces'!$I$23/2,-'Member end forces'!$C$23/2*(AO10*'Member end forces'!$C$6-'Member end forces'!$F$23+'Member end forces'!$I$23/2)^2,-'Member end forces'!$C$23*'Member end forces'!$I$23*(AO10*'Member end forces'!$C$6-'Member end forces'!$F$23)))</f>
        <v>0</v>
      </c>
      <c r="AV10" s="33">
        <f t="shared" si="13"/>
        <v>-5.75</v>
      </c>
      <c r="AW10" s="33">
        <f t="shared" si="14"/>
        <v>5.75</v>
      </c>
    </row>
    <row r="11" spans="1:49" x14ac:dyDescent="0.25">
      <c r="A11" s="37">
        <v>0.35</v>
      </c>
      <c r="B11" s="33">
        <f>-'Member end forces'!$AP$12</f>
        <v>-30.079884645907285</v>
      </c>
      <c r="C11" s="33">
        <f>IF(A11*'Member end forces'!$C$2&lt;='Member end forces'!$F$24,IF($A$1&lt;3,-1,1)*'Member end forces'!$AN$12,IF($A$1&lt;3,-1,1)*'Member end forces'!$AN$12-'Member end forces'!$C$24)</f>
        <v>35.945207700718186</v>
      </c>
      <c r="D11" s="33">
        <f>IF(A11*'Member end forces'!$C$2&lt;='Member end forces'!$F$19-'Member end forces'!$I$19/2,0,IF(A11*'Member end forces'!$C$2&lt;='Member end forces'!$F$19+'Member end forces'!$I$19/2,-'Member end forces'!$C$19*(A11*'Member end forces'!$C$2-'Member end forces'!$F$19+'Member end forces'!$I$19/2),-'Member end forces'!$C$19*'Member end forces'!$I$19))</f>
        <v>-7.9999999999999982</v>
      </c>
      <c r="E11" s="33">
        <f t="shared" si="0"/>
        <v>27.945207700718186</v>
      </c>
      <c r="F11" s="33">
        <f>IF(A11*'Member end forces'!$C$2&lt;='Member end forces'!$F$24,-'Member end forces'!$AL$12+IF($A$1&lt;3,-1,1)*'Member end forces'!$AN$12*A11*'Member end forces'!$C$2,-'Member end forces'!$AL$12+IF($A$1&lt;3,-1,1)*'Member end forces'!$AN$12*A11*'Member end forces'!$C$2-'Member end forces'!$C$24*(A11*'Member end forces'!$C$2-'Member end forces'!$F$24))</f>
        <v>1.8514950483443826</v>
      </c>
      <c r="G11" s="33">
        <f>IF(A11*'Member end forces'!$C$2&lt;='Member end forces'!$F$19-'Member end forces'!$I$19/2,0,IF(A11*'Member end forces'!$C$2&lt;='Member end forces'!$F$19+'Member end forces'!$I$19/2,-'Member end forces'!$C$19/2*(A11*'Member end forces'!$C$2-'Member end forces'!$F$19+'Member end forces'!$I$19/2)^2,-'Member end forces'!$C$19*'Member end forces'!$I$19*(A11*'Member end forces'!$C$2-'Member end forces'!$F$19)))</f>
        <v>-1.5999999999999992</v>
      </c>
      <c r="H11" s="33">
        <f t="shared" si="1"/>
        <v>0.25149504834438341</v>
      </c>
      <c r="I11" s="33">
        <f t="shared" si="2"/>
        <v>-0.25149504834438341</v>
      </c>
      <c r="K11" s="37">
        <v>0.35</v>
      </c>
      <c r="L11" s="33">
        <f>-'Member end forces'!$AP$13</f>
        <v>-61.920115354092715</v>
      </c>
      <c r="M11" s="33">
        <f>IF(K11*'Member end forces'!$C$3&lt;='Member end forces'!$F$25,IF($K$1&lt;3,-1,1)*'Member end forces'!$AN$13,IF($K$1&lt;3,-1,1)*'Member end forces'!$AN$13-'Member end forces'!$C$25)</f>
        <v>64.054792299281814</v>
      </c>
      <c r="N11" s="33">
        <f>IF(K11*'Member end forces'!$C$3&lt;='Member end forces'!$F$20-'Member end forces'!$I$20/2,0,IF(K11*'Member end forces'!$C$3&lt;='Member end forces'!$F$20+'Member end forces'!$I$20/2,-'Member end forces'!$C$20*(K11*'Member end forces'!$C$3-'Member end forces'!$F$20+'Member end forces'!$I$20/2),-'Member end forces'!$C$20*'Member end forces'!$I$20))</f>
        <v>-0.99999999999999645</v>
      </c>
      <c r="O11" s="33">
        <f t="shared" si="3"/>
        <v>63.054792299281814</v>
      </c>
      <c r="P11" s="33">
        <f>IF(K11*'Member end forces'!$C$3&lt;='Member end forces'!$F$25,-'Member end forces'!$AL$13+IF($K$1&lt;3,-1,1)*'Member end forces'!$AN$13*K11*'Member end forces'!$C$3,-'Member end forces'!$AL$13+IF($K$1&lt;3,-1,1)*'Member end forces'!$AN$13*K11*'Member end forces'!$C$3-'Member end forces'!$C$25*(K11*'Member end forces'!$C$3-'Member end forces'!$F$25))</f>
        <v>-25.365303283347636</v>
      </c>
      <c r="Q11" s="33">
        <f>IF(K11*'Member end forces'!$C$3&lt;='Member end forces'!$F$20-'Member end forces'!$I$20/2,0,IF(K11*'Member end forces'!$C$3&lt;='Member end forces'!$F$20+'Member end forces'!$I$20/2,-'Member end forces'!$C$20/2*(K11*'Member end forces'!$C$3-'Member end forces'!$F$20+'Member end forces'!$I$20/2)^2,-'Member end forces'!$C$20*'Member end forces'!$I$20*(K11*'Member end forces'!$C$3-'Member end forces'!$F$20)))</f>
        <v>-2.4999999999999821E-2</v>
      </c>
      <c r="R11" s="33">
        <f t="shared" si="4"/>
        <v>-25.390303283347635</v>
      </c>
      <c r="S11" s="33">
        <f t="shared" si="5"/>
        <v>25.390303283347635</v>
      </c>
      <c r="U11" s="37">
        <v>0.35</v>
      </c>
      <c r="V11" s="33">
        <f>-'Member end forces'!$AP$14</f>
        <v>0</v>
      </c>
      <c r="W11" s="33">
        <f>IF(U11*'Member end forces'!$C$4&lt;='Member end forces'!$F$26,IF($U$1&lt;3,-1,1)*'Member end forces'!$AN$14,IF($U$1&lt;3,-1,1)*'Member end forces'!$AN$14-'Member end forces'!$C$26)</f>
        <v>-2</v>
      </c>
      <c r="X11" s="33">
        <f>IF(U11*'Member end forces'!$C$4&lt;='Member end forces'!$F$21-'Member end forces'!$I$21/2,0,IF(U11*'Member end forces'!$C$4&lt;='Member end forces'!$F$21+'Member end forces'!$I$21/2,-'Member end forces'!$C$21*(U11*'Member end forces'!$C$4-'Member end forces'!$F$21+'Member end forces'!$I$21/2),-'Member end forces'!$C$21*'Member end forces'!$I$21))</f>
        <v>0</v>
      </c>
      <c r="Y11" s="33">
        <f t="shared" si="6"/>
        <v>-2</v>
      </c>
      <c r="Z11" s="33">
        <f>IF(U11*'Member end forces'!$C$4&lt;='Member end forces'!$F$26,-'Member end forces'!$AL$14+IF($U$1&lt;3,-1,1)*'Member end forces'!$AN$14*U11*'Member end forces'!$C$4,-'Member end forces'!$AL$14+IF($U$1&lt;3,-1,1)*'Member end forces'!$AN$14*U11*'Member end forces'!$C$4-'Member end forces'!$C$26*(U11*'Member end forces'!$C$4-'Member end forces'!$F$26))</f>
        <v>-1.4</v>
      </c>
      <c r="AA11" s="33">
        <f>IF(U11*'Member end forces'!$C$4&lt;='Member end forces'!$F$21-'Member end forces'!$I$21/2,0,IF(U11*'Member end forces'!$C$4&lt;='Member end forces'!$F$21+'Member end forces'!$I$21/2,-'Member end forces'!$C$21/2*(U11*'Member end forces'!$C$4-'Member end forces'!$F$21+'Member end forces'!$I$21/2)^2,-'Member end forces'!$C$21*'Member end forces'!$I$21*(U11*'Member end forces'!$C$4-'Member end forces'!$F$21)))</f>
        <v>0</v>
      </c>
      <c r="AB11" s="33">
        <f t="shared" si="7"/>
        <v>-1.4</v>
      </c>
      <c r="AC11" s="33">
        <f t="shared" si="8"/>
        <v>1.4</v>
      </c>
      <c r="AE11" s="37">
        <v>0.35</v>
      </c>
      <c r="AF11" s="33">
        <f>-'Member end forces'!$AP$15</f>
        <v>-34.054792299281814</v>
      </c>
      <c r="AG11" s="33">
        <f>IF(AE11*'Member end forces'!$C$5&lt;='Member end forces'!$F$27,IF($AE$1&lt;3,-1,1)*'Member end forces'!$AN$15,IF($AE$1&lt;3,-1,1)*'Member end forces'!$AN$15-'Member end forces'!$C$27)</f>
        <v>3.0798846459072848</v>
      </c>
      <c r="AH11" s="33">
        <f>IF(AE11*'Member end forces'!$C$5&lt;='Member end forces'!$F$22-'Member end forces'!$I$22/2,0,IF(AE11*'Member end forces'!$C$5&lt;='Member end forces'!$F$22+'Member end forces'!$I$22/2,-'Member end forces'!$C$22*(AE11*'Member end forces'!$C$5-'Member end forces'!$F$22+'Member end forces'!$I$22/2),-'Member end forces'!$C$22*'Member end forces'!$I$22))</f>
        <v>-11.25</v>
      </c>
      <c r="AI11" s="33">
        <f t="shared" si="9"/>
        <v>-8.1701153540927152</v>
      </c>
      <c r="AJ11" s="33">
        <f>IF(AE11*'Member end forces'!$C$5&lt;='Member end forces'!$F$27,-'Member end forces'!$AL$15+IF($AE$1&lt;3,-1,1)*'Member end forces'!$AN$15*AE11*'Member end forces'!$C$5,-'Member end forces'!$AL$15+IF($AE$1&lt;3,-1,1)*'Member end forces'!$AN$15*AE11*'Member end forces'!$C$5-'Member end forces'!$C$27*(AE11*'Member end forces'!$C$5-'Member end forces'!$F$27))</f>
        <v>24.198833200549441</v>
      </c>
      <c r="AK11" s="33">
        <f>IF(AE11*'Member end forces'!$C$5&lt;='Member end forces'!$F$22-'Member end forces'!$I$22/2,0,IF(AE11*'Member end forces'!$C$5&lt;='Member end forces'!$F$22+'Member end forces'!$I$22/2,-'Member end forces'!$C$22/2*(AE11*'Member end forces'!$C$5-'Member end forces'!$F$22+'Member end forces'!$I$22/2)^2,-'Member end forces'!$C$22*'Member end forces'!$I$22*(AE11*'Member end forces'!$C$5-'Member end forces'!$F$22)))</f>
        <v>-4.21875</v>
      </c>
      <c r="AL11" s="33">
        <f t="shared" si="10"/>
        <v>19.980083200549441</v>
      </c>
      <c r="AM11" s="33">
        <f t="shared" si="11"/>
        <v>-19.980083200549441</v>
      </c>
      <c r="AO11" s="37">
        <v>0.35</v>
      </c>
      <c r="AP11" s="33">
        <f>-'Member end forces'!$AP$16</f>
        <v>0</v>
      </c>
      <c r="AQ11" s="33">
        <f>IF(AO11*'Member end forces'!$C$6&lt;='Member end forces'!$F$28,IF($AO$1&lt;3,-1,1)*'Member end forces'!$AN$16,IF($AO$1&lt;3,-1,1)*'Member end forces'!$AN$16-'Member end forces'!$C$28)</f>
        <v>5</v>
      </c>
      <c r="AR11" s="33">
        <f>IF(AO11*'Member end forces'!$C$6&lt;='Member end forces'!$F$23-'Member end forces'!$I$23/2,0,IF(AO11*'Member end forces'!$C$6&lt;='Member end forces'!$F$23+'Member end forces'!$I$23/2,-'Member end forces'!$C$23*(AO11*'Member end forces'!$C$6-'Member end forces'!$F$23+'Member end forces'!$I$23/2),-'Member end forces'!$C$23*'Member end forces'!$I$23))</f>
        <v>0</v>
      </c>
      <c r="AS11" s="33">
        <f t="shared" si="12"/>
        <v>5</v>
      </c>
      <c r="AT11" s="33">
        <f>IF(AO11*'Member end forces'!$C$6&lt;='Member end forces'!$F$28,-'Member end forces'!$AL$16+IF($AO$1&lt;3,-1,1)*'Member end forces'!$AN$16*AO11*'Member end forces'!$C$6,-'Member end forces'!$AL$16+IF($AO$1&lt;3,-1,1)*'Member end forces'!$AN$16*AO11*'Member end forces'!$C$6-'Member end forces'!$C$28*(AO11*'Member end forces'!$C$6-'Member end forces'!$F$28))</f>
        <v>-5.2499999999999991</v>
      </c>
      <c r="AU11" s="33">
        <f>IF(AO11*'Member end forces'!$C$6&lt;='Member end forces'!$F$23-'Member end forces'!$I$23/2,0,IF(AO11*'Member end forces'!$C$6&lt;='Member end forces'!$F$23+'Member end forces'!$I$23/2,-'Member end forces'!$C$23/2*(AO11*'Member end forces'!$C$6-'Member end forces'!$F$23+'Member end forces'!$I$23/2)^2,-'Member end forces'!$C$23*'Member end forces'!$I$23*(AO11*'Member end forces'!$C$6-'Member end forces'!$F$23)))</f>
        <v>0</v>
      </c>
      <c r="AV11" s="33">
        <f t="shared" si="13"/>
        <v>-5.2499999999999991</v>
      </c>
      <c r="AW11" s="33">
        <f t="shared" si="14"/>
        <v>5.2499999999999991</v>
      </c>
    </row>
    <row r="12" spans="1:49" x14ac:dyDescent="0.25">
      <c r="A12" s="37">
        <v>0.4</v>
      </c>
      <c r="B12" s="33">
        <f>-'Member end forces'!$AP$12</f>
        <v>-30.079884645907285</v>
      </c>
      <c r="C12" s="33">
        <f>IF(A12*'Member end forces'!$C$2&lt;='Member end forces'!$F$24,IF($A$1&lt;3,-1,1)*'Member end forces'!$AN$12,IF($A$1&lt;3,-1,1)*'Member end forces'!$AN$12-'Member end forces'!$C$24)</f>
        <v>35.945207700718186</v>
      </c>
      <c r="D12" s="33">
        <f>IF(A12*'Member end forces'!$C$2&lt;='Member end forces'!$F$19-'Member end forces'!$I$19/2,0,IF(A12*'Member end forces'!$C$2&lt;='Member end forces'!$F$19+'Member end forces'!$I$19/2,-'Member end forces'!$C$19*(A12*'Member end forces'!$C$2-'Member end forces'!$F$19+'Member end forces'!$I$19/2),-'Member end forces'!$C$19*'Member end forces'!$I$19))</f>
        <v>-12.000000000000002</v>
      </c>
      <c r="E12" s="33">
        <f t="shared" si="0"/>
        <v>23.945207700718186</v>
      </c>
      <c r="F12" s="33">
        <f>IF(A12*'Member end forces'!$C$2&lt;='Member end forces'!$F$24,-'Member end forces'!$AL$12+IF($A$1&lt;3,-1,1)*'Member end forces'!$AN$12*A12*'Member end forces'!$C$2,-'Member end forces'!$AL$12+IF($A$1&lt;3,-1,1)*'Member end forces'!$AN$12*A12*'Member end forces'!$C$2-'Member end forces'!$C$24*(A12*'Member end forces'!$C$2-'Member end forces'!$F$24))</f>
        <v>9.0405365884880311</v>
      </c>
      <c r="G12" s="33">
        <f>IF(A12*'Member end forces'!$C$2&lt;='Member end forces'!$F$19-'Member end forces'!$I$19/2,0,IF(A12*'Member end forces'!$C$2&lt;='Member end forces'!$F$19+'Member end forces'!$I$19/2,-'Member end forces'!$C$19/2*(A12*'Member end forces'!$C$2-'Member end forces'!$F$19+'Member end forces'!$I$19/2)^2,-'Member end forces'!$C$19*'Member end forces'!$I$19*(A12*'Member end forces'!$C$2-'Member end forces'!$F$19)))</f>
        <v>-3.600000000000001</v>
      </c>
      <c r="H12" s="33">
        <f t="shared" si="1"/>
        <v>5.4405365884880297</v>
      </c>
      <c r="I12" s="33">
        <f t="shared" si="2"/>
        <v>-5.4405365884880297</v>
      </c>
      <c r="K12" s="37">
        <v>0.4</v>
      </c>
      <c r="L12" s="33">
        <f>-'Member end forces'!$AP$13</f>
        <v>-61.920115354092715</v>
      </c>
      <c r="M12" s="33">
        <f>IF(K12*'Member end forces'!$C$3&lt;='Member end forces'!$F$25,IF($K$1&lt;3,-1,1)*'Member end forces'!$AN$13,IF($K$1&lt;3,-1,1)*'Member end forces'!$AN$13-'Member end forces'!$C$25)</f>
        <v>64.054792299281814</v>
      </c>
      <c r="N12" s="33">
        <f>IF(K12*'Member end forces'!$C$3&lt;='Member end forces'!$F$20-'Member end forces'!$I$20/2,0,IF(K12*'Member end forces'!$C$3&lt;='Member end forces'!$F$20+'Member end forces'!$I$20/2,-'Member end forces'!$C$20*(K12*'Member end forces'!$C$3-'Member end forces'!$F$20+'Member end forces'!$I$20/2),-'Member end forces'!$C$20*'Member end forces'!$I$20))</f>
        <v>-4.0000000000000036</v>
      </c>
      <c r="O12" s="33">
        <f t="shared" si="3"/>
        <v>60.054792299281814</v>
      </c>
      <c r="P12" s="33">
        <f>IF(K12*'Member end forces'!$C$3&lt;='Member end forces'!$F$25,-'Member end forces'!$AL$13+IF($K$1&lt;3,-1,1)*'Member end forces'!$AN$13*K12*'Member end forces'!$C$3,-'Member end forces'!$AL$13+IF($K$1&lt;3,-1,1)*'Member end forces'!$AN$13*K12*'Member end forces'!$C$3-'Member end forces'!$C$25*(K12*'Member end forces'!$C$3-'Member end forces'!$F$25))</f>
        <v>-15.757084438455387</v>
      </c>
      <c r="Q12" s="33">
        <f>IF(K12*'Member end forces'!$C$3&lt;='Member end forces'!$F$20-'Member end forces'!$I$20/2,0,IF(K12*'Member end forces'!$C$3&lt;='Member end forces'!$F$20+'Member end forces'!$I$20/2,-'Member end forces'!$C$20/2*(K12*'Member end forces'!$C$3-'Member end forces'!$F$20+'Member end forces'!$I$20/2)^2,-'Member end forces'!$C$20*'Member end forces'!$I$20*(K12*'Member end forces'!$C$3-'Member end forces'!$F$20)))</f>
        <v>-0.40000000000000069</v>
      </c>
      <c r="R12" s="33">
        <f t="shared" si="4"/>
        <v>-16.157084438455389</v>
      </c>
      <c r="S12" s="33">
        <f t="shared" si="5"/>
        <v>16.157084438455389</v>
      </c>
      <c r="U12" s="37">
        <v>0.4</v>
      </c>
      <c r="V12" s="33">
        <f>-'Member end forces'!$AP$14</f>
        <v>0</v>
      </c>
      <c r="W12" s="33">
        <f>IF(U12*'Member end forces'!$C$4&lt;='Member end forces'!$F$26,IF($U$1&lt;3,-1,1)*'Member end forces'!$AN$14,IF($U$1&lt;3,-1,1)*'Member end forces'!$AN$14-'Member end forces'!$C$26)</f>
        <v>-2</v>
      </c>
      <c r="X12" s="33">
        <f>IF(U12*'Member end forces'!$C$4&lt;='Member end forces'!$F$21-'Member end forces'!$I$21/2,0,IF(U12*'Member end forces'!$C$4&lt;='Member end forces'!$F$21+'Member end forces'!$I$21/2,-'Member end forces'!$C$21*(U12*'Member end forces'!$C$4-'Member end forces'!$F$21+'Member end forces'!$I$21/2),-'Member end forces'!$C$21*'Member end forces'!$I$21))</f>
        <v>0</v>
      </c>
      <c r="Y12" s="33">
        <f t="shared" si="6"/>
        <v>-2</v>
      </c>
      <c r="Z12" s="33">
        <f>IF(U12*'Member end forces'!$C$4&lt;='Member end forces'!$F$26,-'Member end forces'!$AL$14+IF($U$1&lt;3,-1,1)*'Member end forces'!$AN$14*U12*'Member end forces'!$C$4,-'Member end forces'!$AL$14+IF($U$1&lt;3,-1,1)*'Member end forces'!$AN$14*U12*'Member end forces'!$C$4-'Member end forces'!$C$26*(U12*'Member end forces'!$C$4-'Member end forces'!$F$26))</f>
        <v>-1.6</v>
      </c>
      <c r="AA12" s="33">
        <f>IF(U12*'Member end forces'!$C$4&lt;='Member end forces'!$F$21-'Member end forces'!$I$21/2,0,IF(U12*'Member end forces'!$C$4&lt;='Member end forces'!$F$21+'Member end forces'!$I$21/2,-'Member end forces'!$C$21/2*(U12*'Member end forces'!$C$4-'Member end forces'!$F$21+'Member end forces'!$I$21/2)^2,-'Member end forces'!$C$21*'Member end forces'!$I$21*(U12*'Member end forces'!$C$4-'Member end forces'!$F$21)))</f>
        <v>0</v>
      </c>
      <c r="AB12" s="33">
        <f t="shared" si="7"/>
        <v>-1.6</v>
      </c>
      <c r="AC12" s="33">
        <f t="shared" si="8"/>
        <v>1.6</v>
      </c>
      <c r="AE12" s="37">
        <v>0.4</v>
      </c>
      <c r="AF12" s="33">
        <f>-'Member end forces'!$AP$15</f>
        <v>-34.054792299281814</v>
      </c>
      <c r="AG12" s="33">
        <f>IF(AE12*'Member end forces'!$C$5&lt;='Member end forces'!$F$27,IF($AE$1&lt;3,-1,1)*'Member end forces'!$AN$15,IF($AE$1&lt;3,-1,1)*'Member end forces'!$AN$15-'Member end forces'!$C$27)</f>
        <v>3.0798846459072848</v>
      </c>
      <c r="AH12" s="33">
        <f>IF(AE12*'Member end forces'!$C$5&lt;='Member end forces'!$F$22-'Member end forces'!$I$22/2,0,IF(AE12*'Member end forces'!$C$5&lt;='Member end forces'!$F$22+'Member end forces'!$I$22/2,-'Member end forces'!$C$22*(AE12*'Member end forces'!$C$5-'Member end forces'!$F$22+'Member end forces'!$I$22/2),-'Member end forces'!$C$22*'Member end forces'!$I$22))</f>
        <v>-15</v>
      </c>
      <c r="AI12" s="33">
        <f t="shared" si="9"/>
        <v>-11.920115354092715</v>
      </c>
      <c r="AJ12" s="33">
        <f>IF(AE12*'Member end forces'!$C$5&lt;='Member end forces'!$F$27,-'Member end forces'!$AL$15+IF($AE$1&lt;3,-1,1)*'Member end forces'!$AN$15*AE12*'Member end forces'!$C$5,-'Member end forces'!$AL$15+IF($AE$1&lt;3,-1,1)*'Member end forces'!$AN$15*AE12*'Member end forces'!$C$5-'Member end forces'!$C$27*(AE12*'Member end forces'!$C$5-'Member end forces'!$F$27))</f>
        <v>24.968804362026262</v>
      </c>
      <c r="AK12" s="33">
        <f>IF(AE12*'Member end forces'!$C$5&lt;='Member end forces'!$F$22-'Member end forces'!$I$22/2,0,IF(AE12*'Member end forces'!$C$5&lt;='Member end forces'!$F$22+'Member end forces'!$I$22/2,-'Member end forces'!$C$22/2*(AE12*'Member end forces'!$C$5-'Member end forces'!$F$22+'Member end forces'!$I$22/2)^2,-'Member end forces'!$C$22*'Member end forces'!$I$22*(AE12*'Member end forces'!$C$5-'Member end forces'!$F$22)))</f>
        <v>-7.5</v>
      </c>
      <c r="AL12" s="33">
        <f t="shared" si="10"/>
        <v>17.468804362026262</v>
      </c>
      <c r="AM12" s="33">
        <f t="shared" si="11"/>
        <v>-17.468804362026262</v>
      </c>
      <c r="AO12" s="37">
        <v>0.4</v>
      </c>
      <c r="AP12" s="33">
        <f>-'Member end forces'!$AP$16</f>
        <v>0</v>
      </c>
      <c r="AQ12" s="33">
        <f>IF(AO12*'Member end forces'!$C$6&lt;='Member end forces'!$F$28,IF($AO$1&lt;3,-1,1)*'Member end forces'!$AN$16,IF($AO$1&lt;3,-1,1)*'Member end forces'!$AN$16-'Member end forces'!$C$28)</f>
        <v>5</v>
      </c>
      <c r="AR12" s="33">
        <f>IF(AO12*'Member end forces'!$C$6&lt;='Member end forces'!$F$23-'Member end forces'!$I$23/2,0,IF(AO12*'Member end forces'!$C$6&lt;='Member end forces'!$F$23+'Member end forces'!$I$23/2,-'Member end forces'!$C$23*(AO12*'Member end forces'!$C$6-'Member end forces'!$F$23+'Member end forces'!$I$23/2),-'Member end forces'!$C$23*'Member end forces'!$I$23))</f>
        <v>0</v>
      </c>
      <c r="AS12" s="33">
        <f t="shared" si="12"/>
        <v>5</v>
      </c>
      <c r="AT12" s="33">
        <f>IF(AO12*'Member end forces'!$C$6&lt;='Member end forces'!$F$28,-'Member end forces'!$AL$16+IF($AO$1&lt;3,-1,1)*'Member end forces'!$AN$16*AO12*'Member end forces'!$C$6,-'Member end forces'!$AL$16+IF($AO$1&lt;3,-1,1)*'Member end forces'!$AN$16*AO12*'Member end forces'!$C$6-'Member end forces'!$C$28*(AO12*'Member end forces'!$C$6-'Member end forces'!$F$28))</f>
        <v>-4.7500000000000009</v>
      </c>
      <c r="AU12" s="33">
        <f>IF(AO12*'Member end forces'!$C$6&lt;='Member end forces'!$F$23-'Member end forces'!$I$23/2,0,IF(AO12*'Member end forces'!$C$6&lt;='Member end forces'!$F$23+'Member end forces'!$I$23/2,-'Member end forces'!$C$23/2*(AO12*'Member end forces'!$C$6-'Member end forces'!$F$23+'Member end forces'!$I$23/2)^2,-'Member end forces'!$C$23*'Member end forces'!$I$23*(AO12*'Member end forces'!$C$6-'Member end forces'!$F$23)))</f>
        <v>0</v>
      </c>
      <c r="AV12" s="33">
        <f t="shared" si="13"/>
        <v>-4.7500000000000009</v>
      </c>
      <c r="AW12" s="33">
        <f t="shared" si="14"/>
        <v>4.7500000000000009</v>
      </c>
    </row>
    <row r="13" spans="1:49" x14ac:dyDescent="0.25">
      <c r="A13" s="37">
        <v>0.45</v>
      </c>
      <c r="B13" s="33">
        <f>-'Member end forces'!$AP$12</f>
        <v>-30.079884645907285</v>
      </c>
      <c r="C13" s="33">
        <f>IF(A13*'Member end forces'!$C$2&lt;='Member end forces'!$F$24,IF($A$1&lt;3,-1,1)*'Member end forces'!$AN$12,IF($A$1&lt;3,-1,1)*'Member end forces'!$AN$12-'Member end forces'!$C$24)</f>
        <v>35.945207700718186</v>
      </c>
      <c r="D13" s="33">
        <f>IF(A13*'Member end forces'!$C$2&lt;='Member end forces'!$F$19-'Member end forces'!$I$19/2,0,IF(A13*'Member end forces'!$C$2&lt;='Member end forces'!$F$19+'Member end forces'!$I$19/2,-'Member end forces'!$C$19*(A13*'Member end forces'!$C$2-'Member end forces'!$F$19+'Member end forces'!$I$19/2),-'Member end forces'!$C$19*'Member end forces'!$I$19))</f>
        <v>-16</v>
      </c>
      <c r="E13" s="33">
        <f t="shared" si="0"/>
        <v>19.945207700718186</v>
      </c>
      <c r="F13" s="33">
        <f>IF(A13*'Member end forces'!$C$2&lt;='Member end forces'!$F$24,-'Member end forces'!$AL$12+IF($A$1&lt;3,-1,1)*'Member end forces'!$AN$12*A13*'Member end forces'!$C$2,-'Member end forces'!$AL$12+IF($A$1&lt;3,-1,1)*'Member end forces'!$AN$12*A13*'Member end forces'!$C$2-'Member end forces'!$C$24*(A13*'Member end forces'!$C$2-'Member end forces'!$F$24))</f>
        <v>16.229578128631665</v>
      </c>
      <c r="G13" s="33">
        <f>IF(A13*'Member end forces'!$C$2&lt;='Member end forces'!$F$19-'Member end forces'!$I$19/2,0,IF(A13*'Member end forces'!$C$2&lt;='Member end forces'!$F$19+'Member end forces'!$I$19/2,-'Member end forces'!$C$19/2*(A13*'Member end forces'!$C$2-'Member end forces'!$F$19+'Member end forces'!$I$19/2)^2,-'Member end forces'!$C$19*'Member end forces'!$I$19*(A13*'Member end forces'!$C$2-'Member end forces'!$F$19)))</f>
        <v>-6.4000000000000012</v>
      </c>
      <c r="H13" s="33">
        <f t="shared" si="1"/>
        <v>9.8295781286316632</v>
      </c>
      <c r="I13" s="33">
        <f t="shared" si="2"/>
        <v>-9.8295781286316632</v>
      </c>
      <c r="K13" s="37">
        <v>0.45</v>
      </c>
      <c r="L13" s="33">
        <f>-'Member end forces'!$AP$13</f>
        <v>-61.920115354092715</v>
      </c>
      <c r="M13" s="33">
        <f>IF(K13*'Member end forces'!$C$3&lt;='Member end forces'!$F$25,IF($K$1&lt;3,-1,1)*'Member end forces'!$AN$13,IF($K$1&lt;3,-1,1)*'Member end forces'!$AN$13-'Member end forces'!$C$25)</f>
        <v>64.054792299281814</v>
      </c>
      <c r="N13" s="33">
        <f>IF(K13*'Member end forces'!$C$3&lt;='Member end forces'!$F$20-'Member end forces'!$I$20/2,0,IF(K13*'Member end forces'!$C$3&lt;='Member end forces'!$F$20+'Member end forces'!$I$20/2,-'Member end forces'!$C$20*(K13*'Member end forces'!$C$3-'Member end forces'!$F$20+'Member end forces'!$I$20/2),-'Member end forces'!$C$20*'Member end forces'!$I$20))</f>
        <v>-7.0000000000000018</v>
      </c>
      <c r="O13" s="33">
        <f t="shared" si="3"/>
        <v>57.054792299281814</v>
      </c>
      <c r="P13" s="33">
        <f>IF(K13*'Member end forces'!$C$3&lt;='Member end forces'!$F$25,-'Member end forces'!$AL$13+IF($K$1&lt;3,-1,1)*'Member end forces'!$AN$13*K13*'Member end forces'!$C$3,-'Member end forces'!$AL$13+IF($K$1&lt;3,-1,1)*'Member end forces'!$AN$13*K13*'Member end forces'!$C$3-'Member end forces'!$C$25*(K13*'Member end forces'!$C$3-'Member end forces'!$F$25))</f>
        <v>-6.1488655935630909</v>
      </c>
      <c r="Q13" s="33">
        <f>IF(K13*'Member end forces'!$C$3&lt;='Member end forces'!$F$20-'Member end forces'!$I$20/2,0,IF(K13*'Member end forces'!$C$3&lt;='Member end forces'!$F$20+'Member end forces'!$I$20/2,-'Member end forces'!$C$20/2*(K13*'Member end forces'!$C$3-'Member end forces'!$F$20+'Member end forces'!$I$20/2)^2,-'Member end forces'!$C$20*'Member end forces'!$I$20*(K13*'Member end forces'!$C$3-'Member end forces'!$F$20)))</f>
        <v>-1.2250000000000008</v>
      </c>
      <c r="R13" s="33">
        <f t="shared" si="4"/>
        <v>-7.3738655935630915</v>
      </c>
      <c r="S13" s="33">
        <f t="shared" si="5"/>
        <v>7.3738655935630915</v>
      </c>
      <c r="U13" s="37">
        <v>0.45</v>
      </c>
      <c r="V13" s="33">
        <f>-'Member end forces'!$AP$14</f>
        <v>0</v>
      </c>
      <c r="W13" s="33">
        <f>IF(U13*'Member end forces'!$C$4&lt;='Member end forces'!$F$26,IF($U$1&lt;3,-1,1)*'Member end forces'!$AN$14,IF($U$1&lt;3,-1,1)*'Member end forces'!$AN$14-'Member end forces'!$C$26)</f>
        <v>-2</v>
      </c>
      <c r="X13" s="33">
        <f>IF(U13*'Member end forces'!$C$4&lt;='Member end forces'!$F$21-'Member end forces'!$I$21/2,0,IF(U13*'Member end forces'!$C$4&lt;='Member end forces'!$F$21+'Member end forces'!$I$21/2,-'Member end forces'!$C$21*(U13*'Member end forces'!$C$4-'Member end forces'!$F$21+'Member end forces'!$I$21/2),-'Member end forces'!$C$21*'Member end forces'!$I$21))</f>
        <v>0</v>
      </c>
      <c r="Y13" s="33">
        <f t="shared" si="6"/>
        <v>-2</v>
      </c>
      <c r="Z13" s="33">
        <f>IF(U13*'Member end forces'!$C$4&lt;='Member end forces'!$F$26,-'Member end forces'!$AL$14+IF($U$1&lt;3,-1,1)*'Member end forces'!$AN$14*U13*'Member end forces'!$C$4,-'Member end forces'!$AL$14+IF($U$1&lt;3,-1,1)*'Member end forces'!$AN$14*U13*'Member end forces'!$C$4-'Member end forces'!$C$26*(U13*'Member end forces'!$C$4-'Member end forces'!$F$26))</f>
        <v>-1.8</v>
      </c>
      <c r="AA13" s="33">
        <f>IF(U13*'Member end forces'!$C$4&lt;='Member end forces'!$F$21-'Member end forces'!$I$21/2,0,IF(U13*'Member end forces'!$C$4&lt;='Member end forces'!$F$21+'Member end forces'!$I$21/2,-'Member end forces'!$C$21/2*(U13*'Member end forces'!$C$4-'Member end forces'!$F$21+'Member end forces'!$I$21/2)^2,-'Member end forces'!$C$21*'Member end forces'!$I$21*(U13*'Member end forces'!$C$4-'Member end forces'!$F$21)))</f>
        <v>0</v>
      </c>
      <c r="AB13" s="33">
        <f t="shared" si="7"/>
        <v>-1.8</v>
      </c>
      <c r="AC13" s="33">
        <f t="shared" si="8"/>
        <v>1.8</v>
      </c>
      <c r="AE13" s="37">
        <v>0.45</v>
      </c>
      <c r="AF13" s="33">
        <f>-'Member end forces'!$AP$15</f>
        <v>-34.054792299281814</v>
      </c>
      <c r="AG13" s="33">
        <f>IF(AE13*'Member end forces'!$C$5&lt;='Member end forces'!$F$27,IF($AE$1&lt;3,-1,1)*'Member end forces'!$AN$15,IF($AE$1&lt;3,-1,1)*'Member end forces'!$AN$15-'Member end forces'!$C$27)</f>
        <v>3.0798846459072848</v>
      </c>
      <c r="AH13" s="33">
        <f>IF(AE13*'Member end forces'!$C$5&lt;='Member end forces'!$F$22-'Member end forces'!$I$22/2,0,IF(AE13*'Member end forces'!$C$5&lt;='Member end forces'!$F$22+'Member end forces'!$I$22/2,-'Member end forces'!$C$22*(AE13*'Member end forces'!$C$5-'Member end forces'!$F$22+'Member end forces'!$I$22/2),-'Member end forces'!$C$22*'Member end forces'!$I$22))</f>
        <v>-18.75</v>
      </c>
      <c r="AI13" s="33">
        <f t="shared" si="9"/>
        <v>-15.670115354092715</v>
      </c>
      <c r="AJ13" s="33">
        <f>IF(AE13*'Member end forces'!$C$5&lt;='Member end forces'!$F$27,-'Member end forces'!$AL$15+IF($AE$1&lt;3,-1,1)*'Member end forces'!$AN$15*AE13*'Member end forces'!$C$5,-'Member end forces'!$AL$15+IF($AE$1&lt;3,-1,1)*'Member end forces'!$AN$15*AE13*'Member end forces'!$C$5-'Member end forces'!$C$27*(AE13*'Member end forces'!$C$5-'Member end forces'!$F$27))</f>
        <v>25.73877552350308</v>
      </c>
      <c r="AK13" s="33">
        <f>IF(AE13*'Member end forces'!$C$5&lt;='Member end forces'!$F$22-'Member end forces'!$I$22/2,0,IF(AE13*'Member end forces'!$C$5&lt;='Member end forces'!$F$22+'Member end forces'!$I$22/2,-'Member end forces'!$C$22/2*(AE13*'Member end forces'!$C$5-'Member end forces'!$F$22+'Member end forces'!$I$22/2)^2,-'Member end forces'!$C$22*'Member end forces'!$I$22*(AE13*'Member end forces'!$C$5-'Member end forces'!$F$22)))</f>
        <v>-11.71875</v>
      </c>
      <c r="AL13" s="33">
        <f t="shared" si="10"/>
        <v>14.02002552350308</v>
      </c>
      <c r="AM13" s="33">
        <f t="shared" si="11"/>
        <v>-14.02002552350308</v>
      </c>
      <c r="AO13" s="37">
        <v>0.45</v>
      </c>
      <c r="AP13" s="33">
        <f>-'Member end forces'!$AP$16</f>
        <v>0</v>
      </c>
      <c r="AQ13" s="33">
        <f>IF(AO13*'Member end forces'!$C$6&lt;='Member end forces'!$F$28,IF($AO$1&lt;3,-1,1)*'Member end forces'!$AN$16,IF($AO$1&lt;3,-1,1)*'Member end forces'!$AN$16-'Member end forces'!$C$28)</f>
        <v>5</v>
      </c>
      <c r="AR13" s="33">
        <f>IF(AO13*'Member end forces'!$C$6&lt;='Member end forces'!$F$23-'Member end forces'!$I$23/2,0,IF(AO13*'Member end forces'!$C$6&lt;='Member end forces'!$F$23+'Member end forces'!$I$23/2,-'Member end forces'!$C$23*(AO13*'Member end forces'!$C$6-'Member end forces'!$F$23+'Member end forces'!$I$23/2),-'Member end forces'!$C$23*'Member end forces'!$I$23))</f>
        <v>0</v>
      </c>
      <c r="AS13" s="33">
        <f t="shared" si="12"/>
        <v>5</v>
      </c>
      <c r="AT13" s="33">
        <f>IF(AO13*'Member end forces'!$C$6&lt;='Member end forces'!$F$28,-'Member end forces'!$AL$16+IF($AO$1&lt;3,-1,1)*'Member end forces'!$AN$16*AO13*'Member end forces'!$C$6,-'Member end forces'!$AL$16+IF($AO$1&lt;3,-1,1)*'Member end forces'!$AN$16*AO13*'Member end forces'!$C$6-'Member end forces'!$C$28*(AO13*'Member end forces'!$C$6-'Member end forces'!$F$28))</f>
        <v>-4.25</v>
      </c>
      <c r="AU13" s="33">
        <f>IF(AO13*'Member end forces'!$C$6&lt;='Member end forces'!$F$23-'Member end forces'!$I$23/2,0,IF(AO13*'Member end forces'!$C$6&lt;='Member end forces'!$F$23+'Member end forces'!$I$23/2,-'Member end forces'!$C$23/2*(AO13*'Member end forces'!$C$6-'Member end forces'!$F$23+'Member end forces'!$I$23/2)^2,-'Member end forces'!$C$23*'Member end forces'!$I$23*(AO13*'Member end forces'!$C$6-'Member end forces'!$F$23)))</f>
        <v>0</v>
      </c>
      <c r="AV13" s="33">
        <f t="shared" si="13"/>
        <v>-4.25</v>
      </c>
      <c r="AW13" s="33">
        <f t="shared" si="14"/>
        <v>4.25</v>
      </c>
    </row>
    <row r="14" spans="1:49" x14ac:dyDescent="0.25">
      <c r="A14" s="37">
        <v>0.5</v>
      </c>
      <c r="B14" s="33">
        <f>-'Member end forces'!$AP$12</f>
        <v>-30.079884645907285</v>
      </c>
      <c r="C14" s="33">
        <f>IF(A14*'Member end forces'!$C$2&lt;='Member end forces'!$F$24,IF($A$1&lt;3,-1,1)*'Member end forces'!$AN$12,IF($A$1&lt;3,-1,1)*'Member end forces'!$AN$12-'Member end forces'!$C$24)</f>
        <v>35.945207700718186</v>
      </c>
      <c r="D14" s="33">
        <f>IF(A14*'Member end forces'!$C$2&lt;='Member end forces'!$F$19-'Member end forces'!$I$19/2,0,IF(A14*'Member end forces'!$C$2&lt;='Member end forces'!$F$19+'Member end forces'!$I$19/2,-'Member end forces'!$C$19*(A14*'Member end forces'!$C$2-'Member end forces'!$F$19+'Member end forces'!$I$19/2),-'Member end forces'!$C$19*'Member end forces'!$I$19))</f>
        <v>-20</v>
      </c>
      <c r="E14" s="33">
        <f t="shared" si="0"/>
        <v>15.945207700718186</v>
      </c>
      <c r="F14" s="33">
        <f>IF(A14*'Member end forces'!$C$2&lt;='Member end forces'!$F$24,-'Member end forces'!$AL$12+IF($A$1&lt;3,-1,1)*'Member end forces'!$AN$12*A14*'Member end forces'!$C$2,-'Member end forces'!$AL$12+IF($A$1&lt;3,-1,1)*'Member end forces'!$AN$12*A14*'Member end forces'!$C$2-'Member end forces'!$C$24*(A14*'Member end forces'!$C$2-'Member end forces'!$F$24))</f>
        <v>23.4186196687753</v>
      </c>
      <c r="G14" s="33">
        <f>IF(A14*'Member end forces'!$C$2&lt;='Member end forces'!$F$19-'Member end forces'!$I$19/2,0,IF(A14*'Member end forces'!$C$2&lt;='Member end forces'!$F$19+'Member end forces'!$I$19/2,-'Member end forces'!$C$19/2*(A14*'Member end forces'!$C$2-'Member end forces'!$F$19+'Member end forces'!$I$19/2)^2,-'Member end forces'!$C$19*'Member end forces'!$I$19*(A14*'Member end forces'!$C$2-'Member end forces'!$F$19)))</f>
        <v>-10</v>
      </c>
      <c r="H14" s="33">
        <f t="shared" si="1"/>
        <v>13.4186196687753</v>
      </c>
      <c r="I14" s="33">
        <f t="shared" si="2"/>
        <v>-13.4186196687753</v>
      </c>
      <c r="K14" s="37">
        <v>0.5</v>
      </c>
      <c r="L14" s="33">
        <f>-'Member end forces'!$AP$13</f>
        <v>-61.920115354092715</v>
      </c>
      <c r="M14" s="33">
        <f>IF(K14*'Member end forces'!$C$3&lt;='Member end forces'!$F$25,IF($K$1&lt;3,-1,1)*'Member end forces'!$AN$13,IF($K$1&lt;3,-1,1)*'Member end forces'!$AN$13-'Member end forces'!$C$25)</f>
        <v>64.054792299281814</v>
      </c>
      <c r="N14" s="33">
        <f>IF(K14*'Member end forces'!$C$3&lt;='Member end forces'!$F$20-'Member end forces'!$I$20/2,0,IF(K14*'Member end forces'!$C$3&lt;='Member end forces'!$F$20+'Member end forces'!$I$20/2,-'Member end forces'!$C$20*(K14*'Member end forces'!$C$3-'Member end forces'!$F$20+'Member end forces'!$I$20/2),-'Member end forces'!$C$20*'Member end forces'!$I$20))</f>
        <v>-10</v>
      </c>
      <c r="O14" s="33">
        <f t="shared" si="3"/>
        <v>54.054792299281814</v>
      </c>
      <c r="P14" s="33">
        <f>IF(K14*'Member end forces'!$C$3&lt;='Member end forces'!$F$25,-'Member end forces'!$AL$13+IF($K$1&lt;3,-1,1)*'Member end forces'!$AN$13*K14*'Member end forces'!$C$3,-'Member end forces'!$AL$13+IF($K$1&lt;3,-1,1)*'Member end forces'!$AN$13*K14*'Member end forces'!$C$3-'Member end forces'!$C$25*(K14*'Member end forces'!$C$3-'Member end forces'!$F$25))</f>
        <v>3.4593532513291763</v>
      </c>
      <c r="Q14" s="33">
        <f>IF(K14*'Member end forces'!$C$3&lt;='Member end forces'!$F$20-'Member end forces'!$I$20/2,0,IF(K14*'Member end forces'!$C$3&lt;='Member end forces'!$F$20+'Member end forces'!$I$20/2,-'Member end forces'!$C$20/2*(K14*'Member end forces'!$C$3-'Member end forces'!$F$20+'Member end forces'!$I$20/2)^2,-'Member end forces'!$C$20*'Member end forces'!$I$20*(K14*'Member end forces'!$C$3-'Member end forces'!$F$20)))</f>
        <v>-2.5</v>
      </c>
      <c r="R14" s="33">
        <f t="shared" si="4"/>
        <v>0.95935325132917626</v>
      </c>
      <c r="S14" s="33">
        <f t="shared" si="5"/>
        <v>-0.95935325132917626</v>
      </c>
      <c r="U14" s="37">
        <v>0.5</v>
      </c>
      <c r="V14" s="33">
        <f>-'Member end forces'!$AP$14</f>
        <v>0</v>
      </c>
      <c r="W14" s="33">
        <f>IF(U14*'Member end forces'!$C$4&lt;='Member end forces'!$F$26,IF($U$1&lt;3,-1,1)*'Member end forces'!$AN$14,IF($U$1&lt;3,-1,1)*'Member end forces'!$AN$14-'Member end forces'!$C$26)</f>
        <v>-2</v>
      </c>
      <c r="X14" s="33">
        <f>IF(U14*'Member end forces'!$C$4&lt;='Member end forces'!$F$21-'Member end forces'!$I$21/2,0,IF(U14*'Member end forces'!$C$4&lt;='Member end forces'!$F$21+'Member end forces'!$I$21/2,-'Member end forces'!$C$21*(U14*'Member end forces'!$C$4-'Member end forces'!$F$21+'Member end forces'!$I$21/2),-'Member end forces'!$C$21*'Member end forces'!$I$21))</f>
        <v>0</v>
      </c>
      <c r="Y14" s="33">
        <f t="shared" si="6"/>
        <v>-2</v>
      </c>
      <c r="Z14" s="33">
        <f>IF(U14*'Member end forces'!$C$4&lt;='Member end forces'!$F$26,-'Member end forces'!$AL$14+IF($U$1&lt;3,-1,1)*'Member end forces'!$AN$14*U14*'Member end forces'!$C$4,-'Member end forces'!$AL$14+IF($U$1&lt;3,-1,1)*'Member end forces'!$AN$14*U14*'Member end forces'!$C$4-'Member end forces'!$C$26*(U14*'Member end forces'!$C$4-'Member end forces'!$F$26))</f>
        <v>-2</v>
      </c>
      <c r="AA14" s="33">
        <f>IF(U14*'Member end forces'!$C$4&lt;='Member end forces'!$F$21-'Member end forces'!$I$21/2,0,IF(U14*'Member end forces'!$C$4&lt;='Member end forces'!$F$21+'Member end forces'!$I$21/2,-'Member end forces'!$C$21/2*(U14*'Member end forces'!$C$4-'Member end forces'!$F$21+'Member end forces'!$I$21/2)^2,-'Member end forces'!$C$21*'Member end forces'!$I$21*(U14*'Member end forces'!$C$4-'Member end forces'!$F$21)))</f>
        <v>0</v>
      </c>
      <c r="AB14" s="33">
        <f t="shared" si="7"/>
        <v>-2</v>
      </c>
      <c r="AC14" s="33">
        <f t="shared" si="8"/>
        <v>2</v>
      </c>
      <c r="AE14" s="37">
        <v>0.5</v>
      </c>
      <c r="AF14" s="33">
        <f>-'Member end forces'!$AP$15</f>
        <v>-34.054792299281814</v>
      </c>
      <c r="AG14" s="33">
        <f>IF(AE14*'Member end forces'!$C$5&lt;='Member end forces'!$F$27,IF($AE$1&lt;3,-1,1)*'Member end forces'!$AN$15,IF($AE$1&lt;3,-1,1)*'Member end forces'!$AN$15-'Member end forces'!$C$27)</f>
        <v>3.0798846459072848</v>
      </c>
      <c r="AH14" s="33">
        <f>IF(AE14*'Member end forces'!$C$5&lt;='Member end forces'!$F$22-'Member end forces'!$I$22/2,0,IF(AE14*'Member end forces'!$C$5&lt;='Member end forces'!$F$22+'Member end forces'!$I$22/2,-'Member end forces'!$C$22*(AE14*'Member end forces'!$C$5-'Member end forces'!$F$22+'Member end forces'!$I$22/2),-'Member end forces'!$C$22*'Member end forces'!$I$22))</f>
        <v>-22.5</v>
      </c>
      <c r="AI14" s="33">
        <f t="shared" si="9"/>
        <v>-19.420115354092715</v>
      </c>
      <c r="AJ14" s="33">
        <f>IF(AE14*'Member end forces'!$C$5&lt;='Member end forces'!$F$27,-'Member end forces'!$AL$15+IF($AE$1&lt;3,-1,1)*'Member end forces'!$AN$15*AE14*'Member end forces'!$C$5,-'Member end forces'!$AL$15+IF($AE$1&lt;3,-1,1)*'Member end forces'!$AN$15*AE14*'Member end forces'!$C$5-'Member end forces'!$C$27*(AE14*'Member end forces'!$C$5-'Member end forces'!$F$27))</f>
        <v>26.508746684979897</v>
      </c>
      <c r="AK14" s="33">
        <f>IF(AE14*'Member end forces'!$C$5&lt;='Member end forces'!$F$22-'Member end forces'!$I$22/2,0,IF(AE14*'Member end forces'!$C$5&lt;='Member end forces'!$F$22+'Member end forces'!$I$22/2,-'Member end forces'!$C$22/2*(AE14*'Member end forces'!$C$5-'Member end forces'!$F$22+'Member end forces'!$I$22/2)^2,-'Member end forces'!$C$22*'Member end forces'!$I$22*(AE14*'Member end forces'!$C$5-'Member end forces'!$F$22)))</f>
        <v>-16.875</v>
      </c>
      <c r="AL14" s="33">
        <f t="shared" si="10"/>
        <v>9.6337466849798972</v>
      </c>
      <c r="AM14" s="33">
        <f t="shared" si="11"/>
        <v>-9.6337466849798972</v>
      </c>
      <c r="AO14" s="37">
        <v>0.5</v>
      </c>
      <c r="AP14" s="33">
        <f>-'Member end forces'!$AP$16</f>
        <v>0</v>
      </c>
      <c r="AQ14" s="33">
        <f>IF(AO14*'Member end forces'!$C$6&lt;='Member end forces'!$F$28,IF($AO$1&lt;3,-1,1)*'Member end forces'!$AN$16,IF($AO$1&lt;3,-1,1)*'Member end forces'!$AN$16-'Member end forces'!$C$28)</f>
        <v>5</v>
      </c>
      <c r="AR14" s="33">
        <f>IF(AO14*'Member end forces'!$C$6&lt;='Member end forces'!$F$23-'Member end forces'!$I$23/2,0,IF(AO14*'Member end forces'!$C$6&lt;='Member end forces'!$F$23+'Member end forces'!$I$23/2,-'Member end forces'!$C$23*(AO14*'Member end forces'!$C$6-'Member end forces'!$F$23+'Member end forces'!$I$23/2),-'Member end forces'!$C$23*'Member end forces'!$I$23))</f>
        <v>0</v>
      </c>
      <c r="AS14" s="33">
        <f t="shared" si="12"/>
        <v>5</v>
      </c>
      <c r="AT14" s="33">
        <f>IF(AO14*'Member end forces'!$C$6&lt;='Member end forces'!$F$28,-'Member end forces'!$AL$16+IF($AO$1&lt;3,-1,1)*'Member end forces'!$AN$16*AO14*'Member end forces'!$C$6,-'Member end forces'!$AL$16+IF($AO$1&lt;3,-1,1)*'Member end forces'!$AN$16*AO14*'Member end forces'!$C$6-'Member end forces'!$C$28*(AO14*'Member end forces'!$C$6-'Member end forces'!$F$28))</f>
        <v>-3.75</v>
      </c>
      <c r="AU14" s="33">
        <f>IF(AO14*'Member end forces'!$C$6&lt;='Member end forces'!$F$23-'Member end forces'!$I$23/2,0,IF(AO14*'Member end forces'!$C$6&lt;='Member end forces'!$F$23+'Member end forces'!$I$23/2,-'Member end forces'!$C$23/2*(AO14*'Member end forces'!$C$6-'Member end forces'!$F$23+'Member end forces'!$I$23/2)^2,-'Member end forces'!$C$23*'Member end forces'!$I$23*(AO14*'Member end forces'!$C$6-'Member end forces'!$F$23)))</f>
        <v>0</v>
      </c>
      <c r="AV14" s="33">
        <f t="shared" si="13"/>
        <v>-3.75</v>
      </c>
      <c r="AW14" s="33">
        <f t="shared" si="14"/>
        <v>3.75</v>
      </c>
    </row>
    <row r="15" spans="1:49" x14ac:dyDescent="0.25">
      <c r="A15" s="37">
        <v>0.55000000000000004</v>
      </c>
      <c r="B15" s="33">
        <f>-'Member end forces'!$AP$12</f>
        <v>-30.079884645907285</v>
      </c>
      <c r="C15" s="33">
        <f>IF(A15*'Member end forces'!$C$2&lt;='Member end forces'!$F$24,IF($A$1&lt;3,-1,1)*'Member end forces'!$AN$12,IF($A$1&lt;3,-1,1)*'Member end forces'!$AN$12-'Member end forces'!$C$24)</f>
        <v>35.945207700718186</v>
      </c>
      <c r="D15" s="33">
        <f>IF(A15*'Member end forces'!$C$2&lt;='Member end forces'!$F$19-'Member end forces'!$I$19/2,0,IF(A15*'Member end forces'!$C$2&lt;='Member end forces'!$F$19+'Member end forces'!$I$19/2,-'Member end forces'!$C$19*(A15*'Member end forces'!$C$2-'Member end forces'!$F$19+'Member end forces'!$I$19/2),-'Member end forces'!$C$19*'Member end forces'!$I$19))</f>
        <v>-24.000000000000004</v>
      </c>
      <c r="E15" s="33">
        <f t="shared" si="0"/>
        <v>11.945207700718182</v>
      </c>
      <c r="F15" s="33">
        <f>IF(A15*'Member end forces'!$C$2&lt;='Member end forces'!$F$24,-'Member end forces'!$AL$12+IF($A$1&lt;3,-1,1)*'Member end forces'!$AN$12*A15*'Member end forces'!$C$2,-'Member end forces'!$AL$12+IF($A$1&lt;3,-1,1)*'Member end forces'!$AN$12*A15*'Member end forces'!$C$2-'Member end forces'!$C$24*(A15*'Member end forces'!$C$2-'Member end forces'!$F$24))</f>
        <v>30.607661208918948</v>
      </c>
      <c r="G15" s="33">
        <f>IF(A15*'Member end forces'!$C$2&lt;='Member end forces'!$F$19-'Member end forces'!$I$19/2,0,IF(A15*'Member end forces'!$C$2&lt;='Member end forces'!$F$19+'Member end forces'!$I$19/2,-'Member end forces'!$C$19/2*(A15*'Member end forces'!$C$2-'Member end forces'!$F$19+'Member end forces'!$I$19/2)^2,-'Member end forces'!$C$19*'Member end forces'!$I$19*(A15*'Member end forces'!$C$2-'Member end forces'!$F$19)))</f>
        <v>-14.400000000000004</v>
      </c>
      <c r="H15" s="33">
        <f t="shared" si="1"/>
        <v>16.207661208918942</v>
      </c>
      <c r="I15" s="33">
        <f t="shared" si="2"/>
        <v>-16.207661208918942</v>
      </c>
      <c r="K15" s="37">
        <v>0.55000000000000004</v>
      </c>
      <c r="L15" s="33">
        <f>-'Member end forces'!$AP$13</f>
        <v>-61.920115354092715</v>
      </c>
      <c r="M15" s="33">
        <f>IF(K15*'Member end forces'!$C$3&lt;='Member end forces'!$F$25,IF($K$1&lt;3,-1,1)*'Member end forces'!$AN$13,IF($K$1&lt;3,-1,1)*'Member end forces'!$AN$13-'Member end forces'!$C$25)</f>
        <v>64.054792299281814</v>
      </c>
      <c r="N15" s="33">
        <f>IF(K15*'Member end forces'!$C$3&lt;='Member end forces'!$F$20-'Member end forces'!$I$20/2,0,IF(K15*'Member end forces'!$C$3&lt;='Member end forces'!$F$20+'Member end forces'!$I$20/2,-'Member end forces'!$C$20*(K15*'Member end forces'!$C$3-'Member end forces'!$F$20+'Member end forces'!$I$20/2),-'Member end forces'!$C$20*'Member end forces'!$I$20))</f>
        <v>-13.000000000000004</v>
      </c>
      <c r="O15" s="33">
        <f t="shared" si="3"/>
        <v>51.054792299281814</v>
      </c>
      <c r="P15" s="33">
        <f>IF(K15*'Member end forces'!$C$3&lt;='Member end forces'!$F$25,-'Member end forces'!$AL$13+IF($K$1&lt;3,-1,1)*'Member end forces'!$AN$13*K15*'Member end forces'!$C$3,-'Member end forces'!$AL$13+IF($K$1&lt;3,-1,1)*'Member end forces'!$AN$13*K15*'Member end forces'!$C$3-'Member end forces'!$C$25*(K15*'Member end forces'!$C$3-'Member end forces'!$F$25))</f>
        <v>13.067572096221461</v>
      </c>
      <c r="Q15" s="33">
        <f>IF(K15*'Member end forces'!$C$3&lt;='Member end forces'!$F$20-'Member end forces'!$I$20/2,0,IF(K15*'Member end forces'!$C$3&lt;='Member end forces'!$F$20+'Member end forces'!$I$20/2,-'Member end forces'!$C$20/2*(K15*'Member end forces'!$C$3-'Member end forces'!$F$20+'Member end forces'!$I$20/2)^2,-'Member end forces'!$C$20*'Member end forces'!$I$20*(K15*'Member end forces'!$C$3-'Member end forces'!$F$20)))</f>
        <v>-4.2250000000000014</v>
      </c>
      <c r="R15" s="33">
        <f t="shared" si="4"/>
        <v>8.8425720962214598</v>
      </c>
      <c r="S15" s="33">
        <f t="shared" si="5"/>
        <v>-8.8425720962214598</v>
      </c>
      <c r="U15" s="37">
        <v>0.55000000000000004</v>
      </c>
      <c r="V15" s="33">
        <f>-'Member end forces'!$AP$14</f>
        <v>0</v>
      </c>
      <c r="W15" s="33">
        <f>IF(U15*'Member end forces'!$C$4&lt;='Member end forces'!$F$26,IF($U$1&lt;3,-1,1)*'Member end forces'!$AN$14,IF($U$1&lt;3,-1,1)*'Member end forces'!$AN$14-'Member end forces'!$C$26)</f>
        <v>-2</v>
      </c>
      <c r="X15" s="33">
        <f>IF(U15*'Member end forces'!$C$4&lt;='Member end forces'!$F$21-'Member end forces'!$I$21/2,0,IF(U15*'Member end forces'!$C$4&lt;='Member end forces'!$F$21+'Member end forces'!$I$21/2,-'Member end forces'!$C$21*(U15*'Member end forces'!$C$4-'Member end forces'!$F$21+'Member end forces'!$I$21/2),-'Member end forces'!$C$21*'Member end forces'!$I$21))</f>
        <v>-0.50000000000000044</v>
      </c>
      <c r="Y15" s="33">
        <f t="shared" si="6"/>
        <v>-2.5000000000000004</v>
      </c>
      <c r="Z15" s="33">
        <f>IF(U15*'Member end forces'!$C$4&lt;='Member end forces'!$F$26,-'Member end forces'!$AL$14+IF($U$1&lt;3,-1,1)*'Member end forces'!$AN$14*U15*'Member end forces'!$C$4,-'Member end forces'!$AL$14+IF($U$1&lt;3,-1,1)*'Member end forces'!$AN$14*U15*'Member end forces'!$C$4-'Member end forces'!$C$26*(U15*'Member end forces'!$C$4-'Member end forces'!$F$26))</f>
        <v>-2.2000000000000002</v>
      </c>
      <c r="AA15" s="33">
        <f>IF(U15*'Member end forces'!$C$4&lt;='Member end forces'!$F$21-'Member end forces'!$I$21/2,0,IF(U15*'Member end forces'!$C$4&lt;='Member end forces'!$F$21+'Member end forces'!$I$21/2,-'Member end forces'!$C$21/2*(U15*'Member end forces'!$C$4-'Member end forces'!$F$21+'Member end forces'!$I$21/2)^2,-'Member end forces'!$C$21*'Member end forces'!$I$21*(U15*'Member end forces'!$C$4-'Member end forces'!$F$21)))</f>
        <v>-2.5000000000000043E-2</v>
      </c>
      <c r="AB15" s="33">
        <f t="shared" si="7"/>
        <v>-2.2250000000000001</v>
      </c>
      <c r="AC15" s="33">
        <f t="shared" si="8"/>
        <v>2.2250000000000001</v>
      </c>
      <c r="AE15" s="37">
        <v>0.55000000000000004</v>
      </c>
      <c r="AF15" s="33">
        <f>-'Member end forces'!$AP$15</f>
        <v>-34.054792299281814</v>
      </c>
      <c r="AG15" s="33">
        <f>IF(AE15*'Member end forces'!$C$5&lt;='Member end forces'!$F$27,IF($AE$1&lt;3,-1,1)*'Member end forces'!$AN$15,IF($AE$1&lt;3,-1,1)*'Member end forces'!$AN$15-'Member end forces'!$C$27)</f>
        <v>3.0798846459072848</v>
      </c>
      <c r="AH15" s="33">
        <f>IF(AE15*'Member end forces'!$C$5&lt;='Member end forces'!$F$22-'Member end forces'!$I$22/2,0,IF(AE15*'Member end forces'!$C$5&lt;='Member end forces'!$F$22+'Member end forces'!$I$22/2,-'Member end forces'!$C$22*(AE15*'Member end forces'!$C$5-'Member end forces'!$F$22+'Member end forces'!$I$22/2),-'Member end forces'!$C$22*'Member end forces'!$I$22))</f>
        <v>-26.25</v>
      </c>
      <c r="AI15" s="33">
        <f t="shared" si="9"/>
        <v>-23.170115354092715</v>
      </c>
      <c r="AJ15" s="33">
        <f>IF(AE15*'Member end forces'!$C$5&lt;='Member end forces'!$F$27,-'Member end forces'!$AL$15+IF($AE$1&lt;3,-1,1)*'Member end forces'!$AN$15*AE15*'Member end forces'!$C$5,-'Member end forces'!$AL$15+IF($AE$1&lt;3,-1,1)*'Member end forces'!$AN$15*AE15*'Member end forces'!$C$5-'Member end forces'!$C$27*(AE15*'Member end forces'!$C$5-'Member end forces'!$F$27))</f>
        <v>27.278717846456729</v>
      </c>
      <c r="AK15" s="33">
        <f>IF(AE15*'Member end forces'!$C$5&lt;='Member end forces'!$F$22-'Member end forces'!$I$22/2,0,IF(AE15*'Member end forces'!$C$5&lt;='Member end forces'!$F$22+'Member end forces'!$I$22/2,-'Member end forces'!$C$22/2*(AE15*'Member end forces'!$C$5-'Member end forces'!$F$22+'Member end forces'!$I$22/2)^2,-'Member end forces'!$C$22*'Member end forces'!$I$22*(AE15*'Member end forces'!$C$5-'Member end forces'!$F$22)))</f>
        <v>-22.96875</v>
      </c>
      <c r="AL15" s="33">
        <f t="shared" si="10"/>
        <v>4.309967846456729</v>
      </c>
      <c r="AM15" s="33">
        <f t="shared" si="11"/>
        <v>-4.309967846456729</v>
      </c>
      <c r="AO15" s="37">
        <v>0.55000000000000004</v>
      </c>
      <c r="AP15" s="33">
        <f>-'Member end forces'!$AP$16</f>
        <v>0</v>
      </c>
      <c r="AQ15" s="33">
        <f>IF(AO15*'Member end forces'!$C$6&lt;='Member end forces'!$F$28,IF($AO$1&lt;3,-1,1)*'Member end forces'!$AN$16,IF($AO$1&lt;3,-1,1)*'Member end forces'!$AN$16-'Member end forces'!$C$28)</f>
        <v>5</v>
      </c>
      <c r="AR15" s="33">
        <f>IF(AO15*'Member end forces'!$C$6&lt;='Member end forces'!$F$23-'Member end forces'!$I$23/2,0,IF(AO15*'Member end forces'!$C$6&lt;='Member end forces'!$F$23+'Member end forces'!$I$23/2,-'Member end forces'!$C$23*(AO15*'Member end forces'!$C$6-'Member end forces'!$F$23+'Member end forces'!$I$23/2),-'Member end forces'!$C$23*'Member end forces'!$I$23))</f>
        <v>0</v>
      </c>
      <c r="AS15" s="33">
        <f t="shared" si="12"/>
        <v>5</v>
      </c>
      <c r="AT15" s="33">
        <f>IF(AO15*'Member end forces'!$C$6&lt;='Member end forces'!$F$28,-'Member end forces'!$AL$16+IF($AO$1&lt;3,-1,1)*'Member end forces'!$AN$16*AO15*'Member end forces'!$C$6,-'Member end forces'!$AL$16+IF($AO$1&lt;3,-1,1)*'Member end forces'!$AN$16*AO15*'Member end forces'!$C$6-'Member end forces'!$C$28*(AO15*'Member end forces'!$C$6-'Member end forces'!$F$28))</f>
        <v>-3.2500000000000018</v>
      </c>
      <c r="AU15" s="33">
        <f>IF(AO15*'Member end forces'!$C$6&lt;='Member end forces'!$F$23-'Member end forces'!$I$23/2,0,IF(AO15*'Member end forces'!$C$6&lt;='Member end forces'!$F$23+'Member end forces'!$I$23/2,-'Member end forces'!$C$23/2*(AO15*'Member end forces'!$C$6-'Member end forces'!$F$23+'Member end forces'!$I$23/2)^2,-'Member end forces'!$C$23*'Member end forces'!$I$23*(AO15*'Member end forces'!$C$6-'Member end forces'!$F$23)))</f>
        <v>0</v>
      </c>
      <c r="AV15" s="33">
        <f t="shared" si="13"/>
        <v>-3.2500000000000018</v>
      </c>
      <c r="AW15" s="33">
        <f t="shared" si="14"/>
        <v>3.2500000000000018</v>
      </c>
    </row>
    <row r="16" spans="1:49" x14ac:dyDescent="0.25">
      <c r="A16" s="37">
        <v>0.6</v>
      </c>
      <c r="B16" s="33">
        <f>-'Member end forces'!$AP$12</f>
        <v>-30.079884645907285</v>
      </c>
      <c r="C16" s="33">
        <f>IF(A16*'Member end forces'!$C$2&lt;='Member end forces'!$F$24,IF($A$1&lt;3,-1,1)*'Member end forces'!$AN$12,IF($A$1&lt;3,-1,1)*'Member end forces'!$AN$12-'Member end forces'!$C$24)</f>
        <v>35.945207700718186</v>
      </c>
      <c r="D16" s="33">
        <f>IF(A16*'Member end forces'!$C$2&lt;='Member end forces'!$F$19-'Member end forces'!$I$19/2,0,IF(A16*'Member end forces'!$C$2&lt;='Member end forces'!$F$19+'Member end forces'!$I$19/2,-'Member end forces'!$C$19*(A16*'Member end forces'!$C$2-'Member end forces'!$F$19+'Member end forces'!$I$19/2),-'Member end forces'!$C$19*'Member end forces'!$I$19))</f>
        <v>-28</v>
      </c>
      <c r="E16" s="33">
        <f t="shared" si="0"/>
        <v>7.9452077007181856</v>
      </c>
      <c r="F16" s="33">
        <f>IF(A16*'Member end forces'!$C$2&lt;='Member end forces'!$F$24,-'Member end forces'!$AL$12+IF($A$1&lt;3,-1,1)*'Member end forces'!$AN$12*A16*'Member end forces'!$C$2,-'Member end forces'!$AL$12+IF($A$1&lt;3,-1,1)*'Member end forces'!$AN$12*A16*'Member end forces'!$C$2-'Member end forces'!$C$24*(A16*'Member end forces'!$C$2-'Member end forces'!$F$24))</f>
        <v>37.796702749062568</v>
      </c>
      <c r="G16" s="33">
        <f>IF(A16*'Member end forces'!$C$2&lt;='Member end forces'!$F$19-'Member end forces'!$I$19/2,0,IF(A16*'Member end forces'!$C$2&lt;='Member end forces'!$F$19+'Member end forces'!$I$19/2,-'Member end forces'!$C$19/2*(A16*'Member end forces'!$C$2-'Member end forces'!$F$19+'Member end forces'!$I$19/2)^2,-'Member end forces'!$C$19*'Member end forces'!$I$19*(A16*'Member end forces'!$C$2-'Member end forces'!$F$19)))</f>
        <v>-19.599999999999998</v>
      </c>
      <c r="H16" s="33">
        <f t="shared" si="1"/>
        <v>18.19670274906257</v>
      </c>
      <c r="I16" s="33">
        <f t="shared" si="2"/>
        <v>-18.19670274906257</v>
      </c>
      <c r="K16" s="37">
        <v>0.6</v>
      </c>
      <c r="L16" s="33">
        <f>-'Member end forces'!$AP$13</f>
        <v>-61.920115354092715</v>
      </c>
      <c r="M16" s="33">
        <f>IF(K16*'Member end forces'!$C$3&lt;='Member end forces'!$F$25,IF($K$1&lt;3,-1,1)*'Member end forces'!$AN$13,IF($K$1&lt;3,-1,1)*'Member end forces'!$AN$13-'Member end forces'!$C$25)</f>
        <v>64.054792299281814</v>
      </c>
      <c r="N16" s="33">
        <f>IF(K16*'Member end forces'!$C$3&lt;='Member end forces'!$F$20-'Member end forces'!$I$20/2,0,IF(K16*'Member end forces'!$C$3&lt;='Member end forces'!$F$20+'Member end forces'!$I$20/2,-'Member end forces'!$C$20*(K16*'Member end forces'!$C$3-'Member end forces'!$F$20+'Member end forces'!$I$20/2),-'Member end forces'!$C$20*'Member end forces'!$I$20))</f>
        <v>-15.999999999999996</v>
      </c>
      <c r="O16" s="33">
        <f t="shared" si="3"/>
        <v>48.054792299281814</v>
      </c>
      <c r="P16" s="33">
        <f>IF(K16*'Member end forces'!$C$3&lt;='Member end forces'!$F$25,-'Member end forces'!$AL$13+IF($K$1&lt;3,-1,1)*'Member end forces'!$AN$13*K16*'Member end forces'!$C$3,-'Member end forces'!$AL$13+IF($K$1&lt;3,-1,1)*'Member end forces'!$AN$13*K16*'Member end forces'!$C$3-'Member end forces'!$C$25*(K16*'Member end forces'!$C$3-'Member end forces'!$F$25))</f>
        <v>22.675790941113739</v>
      </c>
      <c r="Q16" s="33">
        <f>IF(K16*'Member end forces'!$C$3&lt;='Member end forces'!$F$20-'Member end forces'!$I$20/2,0,IF(K16*'Member end forces'!$C$3&lt;='Member end forces'!$F$20+'Member end forces'!$I$20/2,-'Member end forces'!$C$20/2*(K16*'Member end forces'!$C$3-'Member end forces'!$F$20+'Member end forces'!$I$20/2)^2,-'Member end forces'!$C$20*'Member end forces'!$I$20*(K16*'Member end forces'!$C$3-'Member end forces'!$F$20)))</f>
        <v>-6.3999999999999968</v>
      </c>
      <c r="R16" s="33">
        <f t="shared" si="4"/>
        <v>16.27579094111374</v>
      </c>
      <c r="S16" s="33">
        <f t="shared" si="5"/>
        <v>-16.27579094111374</v>
      </c>
      <c r="U16" s="37">
        <v>0.6</v>
      </c>
      <c r="V16" s="33">
        <f>-'Member end forces'!$AP$14</f>
        <v>0</v>
      </c>
      <c r="W16" s="33">
        <f>IF(U16*'Member end forces'!$C$4&lt;='Member end forces'!$F$26,IF($U$1&lt;3,-1,1)*'Member end forces'!$AN$14,IF($U$1&lt;3,-1,1)*'Member end forces'!$AN$14-'Member end forces'!$C$26)</f>
        <v>-2</v>
      </c>
      <c r="X16" s="33">
        <f>IF(U16*'Member end forces'!$C$4&lt;='Member end forces'!$F$21-'Member end forces'!$I$21/2,0,IF(U16*'Member end forces'!$C$4&lt;='Member end forces'!$F$21+'Member end forces'!$I$21/2,-'Member end forces'!$C$21*(U16*'Member end forces'!$C$4-'Member end forces'!$F$21+'Member end forces'!$I$21/2),-'Member end forces'!$C$21*'Member end forces'!$I$21))</f>
        <v>-0.99999999999999978</v>
      </c>
      <c r="Y16" s="33">
        <f t="shared" si="6"/>
        <v>-3</v>
      </c>
      <c r="Z16" s="33">
        <f>IF(U16*'Member end forces'!$C$4&lt;='Member end forces'!$F$26,-'Member end forces'!$AL$14+IF($U$1&lt;3,-1,1)*'Member end forces'!$AN$14*U16*'Member end forces'!$C$4,-'Member end forces'!$AL$14+IF($U$1&lt;3,-1,1)*'Member end forces'!$AN$14*U16*'Member end forces'!$C$4-'Member end forces'!$C$26*(U16*'Member end forces'!$C$4-'Member end forces'!$F$26))</f>
        <v>-2.4</v>
      </c>
      <c r="AA16" s="33">
        <f>IF(U16*'Member end forces'!$C$4&lt;='Member end forces'!$F$21-'Member end forces'!$I$21/2,0,IF(U16*'Member end forces'!$C$4&lt;='Member end forces'!$F$21+'Member end forces'!$I$21/2,-'Member end forces'!$C$21/2*(U16*'Member end forces'!$C$4-'Member end forces'!$F$21+'Member end forces'!$I$21/2)^2,-'Member end forces'!$C$21*'Member end forces'!$I$21*(U16*'Member end forces'!$C$4-'Member end forces'!$F$21)))</f>
        <v>-9.999999999999995E-2</v>
      </c>
      <c r="AB16" s="33">
        <f t="shared" si="7"/>
        <v>-2.5</v>
      </c>
      <c r="AC16" s="33">
        <f t="shared" si="8"/>
        <v>2.5</v>
      </c>
      <c r="AE16" s="37">
        <v>0.6</v>
      </c>
      <c r="AF16" s="33">
        <f>-'Member end forces'!$AP$15</f>
        <v>-34.054792299281814</v>
      </c>
      <c r="AG16" s="33">
        <f>IF(AE16*'Member end forces'!$C$5&lt;='Member end forces'!$F$27,IF($AE$1&lt;3,-1,1)*'Member end forces'!$AN$15,IF($AE$1&lt;3,-1,1)*'Member end forces'!$AN$15-'Member end forces'!$C$27)</f>
        <v>3.0798846459072848</v>
      </c>
      <c r="AH16" s="33">
        <f>IF(AE16*'Member end forces'!$C$5&lt;='Member end forces'!$F$22-'Member end forces'!$I$22/2,0,IF(AE16*'Member end forces'!$C$5&lt;='Member end forces'!$F$22+'Member end forces'!$I$22/2,-'Member end forces'!$C$22*(AE16*'Member end forces'!$C$5-'Member end forces'!$F$22+'Member end forces'!$I$22/2),-'Member end forces'!$C$22*'Member end forces'!$I$22))</f>
        <v>-30</v>
      </c>
      <c r="AI16" s="33">
        <f t="shared" si="9"/>
        <v>-26.920115354092715</v>
      </c>
      <c r="AJ16" s="33">
        <f>IF(AE16*'Member end forces'!$C$5&lt;='Member end forces'!$F$27,-'Member end forces'!$AL$15+IF($AE$1&lt;3,-1,1)*'Member end forces'!$AN$15*AE16*'Member end forces'!$C$5,-'Member end forces'!$AL$15+IF($AE$1&lt;3,-1,1)*'Member end forces'!$AN$15*AE16*'Member end forces'!$C$5-'Member end forces'!$C$27*(AE16*'Member end forces'!$C$5-'Member end forces'!$F$27))</f>
        <v>28.048689007933547</v>
      </c>
      <c r="AK16" s="33">
        <f>IF(AE16*'Member end forces'!$C$5&lt;='Member end forces'!$F$22-'Member end forces'!$I$22/2,0,IF(AE16*'Member end forces'!$C$5&lt;='Member end forces'!$F$22+'Member end forces'!$I$22/2,-'Member end forces'!$C$22/2*(AE16*'Member end forces'!$C$5-'Member end forces'!$F$22+'Member end forces'!$I$22/2)^2,-'Member end forces'!$C$22*'Member end forces'!$I$22*(AE16*'Member end forces'!$C$5-'Member end forces'!$F$22)))</f>
        <v>-30</v>
      </c>
      <c r="AL16" s="33">
        <f t="shared" si="10"/>
        <v>-1.9513109920664533</v>
      </c>
      <c r="AM16" s="33">
        <f t="shared" si="11"/>
        <v>1.9513109920664533</v>
      </c>
      <c r="AO16" s="37">
        <v>0.6</v>
      </c>
      <c r="AP16" s="33">
        <f>-'Member end forces'!$AP$16</f>
        <v>0</v>
      </c>
      <c r="AQ16" s="33">
        <f>IF(AO16*'Member end forces'!$C$6&lt;='Member end forces'!$F$28,IF($AO$1&lt;3,-1,1)*'Member end forces'!$AN$16,IF($AO$1&lt;3,-1,1)*'Member end forces'!$AN$16-'Member end forces'!$C$28)</f>
        <v>5</v>
      </c>
      <c r="AR16" s="33">
        <f>IF(AO16*'Member end forces'!$C$6&lt;='Member end forces'!$F$23-'Member end forces'!$I$23/2,0,IF(AO16*'Member end forces'!$C$6&lt;='Member end forces'!$F$23+'Member end forces'!$I$23/2,-'Member end forces'!$C$23*(AO16*'Member end forces'!$C$6-'Member end forces'!$F$23+'Member end forces'!$I$23/2),-'Member end forces'!$C$23*'Member end forces'!$I$23))</f>
        <v>0</v>
      </c>
      <c r="AS16" s="33">
        <f t="shared" si="12"/>
        <v>5</v>
      </c>
      <c r="AT16" s="33">
        <f>IF(AO16*'Member end forces'!$C$6&lt;='Member end forces'!$F$28,-'Member end forces'!$AL$16+IF($AO$1&lt;3,-1,1)*'Member end forces'!$AN$16*AO16*'Member end forces'!$C$6,-'Member end forces'!$AL$16+IF($AO$1&lt;3,-1,1)*'Member end forces'!$AN$16*AO16*'Member end forces'!$C$6-'Member end forces'!$C$28*(AO16*'Member end forces'!$C$6-'Member end forces'!$F$28))</f>
        <v>-2.75</v>
      </c>
      <c r="AU16" s="33">
        <f>IF(AO16*'Member end forces'!$C$6&lt;='Member end forces'!$F$23-'Member end forces'!$I$23/2,0,IF(AO16*'Member end forces'!$C$6&lt;='Member end forces'!$F$23+'Member end forces'!$I$23/2,-'Member end forces'!$C$23/2*(AO16*'Member end forces'!$C$6-'Member end forces'!$F$23+'Member end forces'!$I$23/2)^2,-'Member end forces'!$C$23*'Member end forces'!$I$23*(AO16*'Member end forces'!$C$6-'Member end forces'!$F$23)))</f>
        <v>0</v>
      </c>
      <c r="AV16" s="33">
        <f t="shared" si="13"/>
        <v>-2.75</v>
      </c>
      <c r="AW16" s="33">
        <f t="shared" si="14"/>
        <v>2.75</v>
      </c>
    </row>
    <row r="17" spans="1:49" x14ac:dyDescent="0.25">
      <c r="A17" s="37">
        <v>0.65</v>
      </c>
      <c r="B17" s="33">
        <f>-'Member end forces'!$AP$12</f>
        <v>-30.079884645907285</v>
      </c>
      <c r="C17" s="33">
        <f>IF(A17*'Member end forces'!$C$2&lt;='Member end forces'!$F$24,IF($A$1&lt;3,-1,1)*'Member end forces'!$AN$12,IF($A$1&lt;3,-1,1)*'Member end forces'!$AN$12-'Member end forces'!$C$24)</f>
        <v>35.945207700718186</v>
      </c>
      <c r="D17" s="33">
        <f>IF(A17*'Member end forces'!$C$2&lt;='Member end forces'!$F$19-'Member end forces'!$I$19/2,0,IF(A17*'Member end forces'!$C$2&lt;='Member end forces'!$F$19+'Member end forces'!$I$19/2,-'Member end forces'!$C$19*(A17*'Member end forces'!$C$2-'Member end forces'!$F$19+'Member end forces'!$I$19/2),-'Member end forces'!$C$19*'Member end forces'!$I$19))</f>
        <v>-32</v>
      </c>
      <c r="E17" s="33">
        <f t="shared" si="0"/>
        <v>3.9452077007181856</v>
      </c>
      <c r="F17" s="33">
        <f>IF(A17*'Member end forces'!$C$2&lt;='Member end forces'!$F$24,-'Member end forces'!$AL$12+IF($A$1&lt;3,-1,1)*'Member end forces'!$AN$12*A17*'Member end forces'!$C$2,-'Member end forces'!$AL$12+IF($A$1&lt;3,-1,1)*'Member end forces'!$AN$12*A17*'Member end forces'!$C$2-'Member end forces'!$C$24*(A17*'Member end forces'!$C$2-'Member end forces'!$F$24))</f>
        <v>44.985744289206217</v>
      </c>
      <c r="G17" s="33">
        <f>IF(A17*'Member end forces'!$C$2&lt;='Member end forces'!$F$19-'Member end forces'!$I$19/2,0,IF(A17*'Member end forces'!$C$2&lt;='Member end forces'!$F$19+'Member end forces'!$I$19/2,-'Member end forces'!$C$19/2*(A17*'Member end forces'!$C$2-'Member end forces'!$F$19+'Member end forces'!$I$19/2)^2,-'Member end forces'!$C$19*'Member end forces'!$I$19*(A17*'Member end forces'!$C$2-'Member end forces'!$F$19)))</f>
        <v>-25.600000000000005</v>
      </c>
      <c r="H17" s="33">
        <f t="shared" si="1"/>
        <v>19.385744289206212</v>
      </c>
      <c r="I17" s="33">
        <f t="shared" si="2"/>
        <v>-19.385744289206212</v>
      </c>
      <c r="K17" s="37">
        <v>0.65</v>
      </c>
      <c r="L17" s="33">
        <f>-'Member end forces'!$AP$13</f>
        <v>-61.920115354092715</v>
      </c>
      <c r="M17" s="33">
        <f>IF(K17*'Member end forces'!$C$3&lt;='Member end forces'!$F$25,IF($K$1&lt;3,-1,1)*'Member end forces'!$AN$13,IF($K$1&lt;3,-1,1)*'Member end forces'!$AN$13-'Member end forces'!$C$25)</f>
        <v>64.054792299281814</v>
      </c>
      <c r="N17" s="33">
        <f>IF(K17*'Member end forces'!$C$3&lt;='Member end forces'!$F$20-'Member end forces'!$I$20/2,0,IF(K17*'Member end forces'!$C$3&lt;='Member end forces'!$F$20+'Member end forces'!$I$20/2,-'Member end forces'!$C$20*(K17*'Member end forces'!$C$3-'Member end forces'!$F$20+'Member end forces'!$I$20/2),-'Member end forces'!$C$20*'Member end forces'!$I$20))</f>
        <v>-19.000000000000004</v>
      </c>
      <c r="O17" s="33">
        <f t="shared" si="3"/>
        <v>45.054792299281814</v>
      </c>
      <c r="P17" s="33">
        <f>IF(K17*'Member end forces'!$C$3&lt;='Member end forces'!$F$25,-'Member end forces'!$AL$13+IF($K$1&lt;3,-1,1)*'Member end forces'!$AN$13*K17*'Member end forces'!$C$3,-'Member end forces'!$AL$13+IF($K$1&lt;3,-1,1)*'Member end forces'!$AN$13*K17*'Member end forces'!$C$3-'Member end forces'!$C$25*(K17*'Member end forces'!$C$3-'Member end forces'!$F$25))</f>
        <v>32.284009786005988</v>
      </c>
      <c r="Q17" s="33">
        <f>IF(K17*'Member end forces'!$C$3&lt;='Member end forces'!$F$20-'Member end forces'!$I$20/2,0,IF(K17*'Member end forces'!$C$3&lt;='Member end forces'!$F$20+'Member end forces'!$I$20/2,-'Member end forces'!$C$20/2*(K17*'Member end forces'!$C$3-'Member end forces'!$F$20+'Member end forces'!$I$20/2)^2,-'Member end forces'!$C$20*'Member end forces'!$I$20*(K17*'Member end forces'!$C$3-'Member end forces'!$F$20)))</f>
        <v>-9.0250000000000021</v>
      </c>
      <c r="R17" s="33">
        <f t="shared" si="4"/>
        <v>23.259009786005986</v>
      </c>
      <c r="S17" s="33">
        <f t="shared" si="5"/>
        <v>-23.259009786005986</v>
      </c>
      <c r="U17" s="37">
        <v>0.65</v>
      </c>
      <c r="V17" s="33">
        <f>-'Member end forces'!$AP$14</f>
        <v>0</v>
      </c>
      <c r="W17" s="33">
        <f>IF(U17*'Member end forces'!$C$4&lt;='Member end forces'!$F$26,IF($U$1&lt;3,-1,1)*'Member end forces'!$AN$14,IF($U$1&lt;3,-1,1)*'Member end forces'!$AN$14-'Member end forces'!$C$26)</f>
        <v>-2</v>
      </c>
      <c r="X17" s="33">
        <f>IF(U17*'Member end forces'!$C$4&lt;='Member end forces'!$F$21-'Member end forces'!$I$21/2,0,IF(U17*'Member end forces'!$C$4&lt;='Member end forces'!$F$21+'Member end forces'!$I$21/2,-'Member end forces'!$C$21*(U17*'Member end forces'!$C$4-'Member end forces'!$F$21+'Member end forces'!$I$21/2),-'Member end forces'!$C$21*'Member end forces'!$I$21))</f>
        <v>-1.5000000000000002</v>
      </c>
      <c r="Y17" s="33">
        <f t="shared" si="6"/>
        <v>-3.5</v>
      </c>
      <c r="Z17" s="33">
        <f>IF(U17*'Member end forces'!$C$4&lt;='Member end forces'!$F$26,-'Member end forces'!$AL$14+IF($U$1&lt;3,-1,1)*'Member end forces'!$AN$14*U17*'Member end forces'!$C$4,-'Member end forces'!$AL$14+IF($U$1&lt;3,-1,1)*'Member end forces'!$AN$14*U17*'Member end forces'!$C$4-'Member end forces'!$C$26*(U17*'Member end forces'!$C$4-'Member end forces'!$F$26))</f>
        <v>-2.6</v>
      </c>
      <c r="AA17" s="33">
        <f>IF(U17*'Member end forces'!$C$4&lt;='Member end forces'!$F$21-'Member end forces'!$I$21/2,0,IF(U17*'Member end forces'!$C$4&lt;='Member end forces'!$F$21+'Member end forces'!$I$21/2,-'Member end forces'!$C$21/2*(U17*'Member end forces'!$C$4-'Member end forces'!$F$21+'Member end forces'!$I$21/2)^2,-'Member end forces'!$C$21*'Member end forces'!$I$21*(U17*'Member end forces'!$C$4-'Member end forces'!$F$21)))</f>
        <v>-0.22500000000000006</v>
      </c>
      <c r="AB17" s="33">
        <f t="shared" si="7"/>
        <v>-2.8250000000000002</v>
      </c>
      <c r="AC17" s="33">
        <f t="shared" si="8"/>
        <v>2.8250000000000002</v>
      </c>
      <c r="AE17" s="37">
        <v>0.65</v>
      </c>
      <c r="AF17" s="33">
        <f>-'Member end forces'!$AP$15</f>
        <v>-34.054792299281814</v>
      </c>
      <c r="AG17" s="33">
        <f>IF(AE17*'Member end forces'!$C$5&lt;='Member end forces'!$F$27,IF($AE$1&lt;3,-1,1)*'Member end forces'!$AN$15,IF($AE$1&lt;3,-1,1)*'Member end forces'!$AN$15-'Member end forces'!$C$27)</f>
        <v>3.0798846459072848</v>
      </c>
      <c r="AH17" s="33">
        <f>IF(AE17*'Member end forces'!$C$5&lt;='Member end forces'!$F$22-'Member end forces'!$I$22/2,0,IF(AE17*'Member end forces'!$C$5&lt;='Member end forces'!$F$22+'Member end forces'!$I$22/2,-'Member end forces'!$C$22*(AE17*'Member end forces'!$C$5-'Member end forces'!$F$22+'Member end forces'!$I$22/2),-'Member end forces'!$C$22*'Member end forces'!$I$22))</f>
        <v>-33.75</v>
      </c>
      <c r="AI17" s="33">
        <f t="shared" si="9"/>
        <v>-30.670115354092715</v>
      </c>
      <c r="AJ17" s="33">
        <f>IF(AE17*'Member end forces'!$C$5&lt;='Member end forces'!$F$27,-'Member end forces'!$AL$15+IF($AE$1&lt;3,-1,1)*'Member end forces'!$AN$15*AE17*'Member end forces'!$C$5,-'Member end forces'!$AL$15+IF($AE$1&lt;3,-1,1)*'Member end forces'!$AN$15*AE17*'Member end forces'!$C$5-'Member end forces'!$C$27*(AE17*'Member end forces'!$C$5-'Member end forces'!$F$27))</f>
        <v>28.818660169410364</v>
      </c>
      <c r="AK17" s="33">
        <f>IF(AE17*'Member end forces'!$C$5&lt;='Member end forces'!$F$22-'Member end forces'!$I$22/2,0,IF(AE17*'Member end forces'!$C$5&lt;='Member end forces'!$F$22+'Member end forces'!$I$22/2,-'Member end forces'!$C$22/2*(AE17*'Member end forces'!$C$5-'Member end forces'!$F$22+'Member end forces'!$I$22/2)^2,-'Member end forces'!$C$22*'Member end forces'!$I$22*(AE17*'Member end forces'!$C$5-'Member end forces'!$F$22)))</f>
        <v>-37.96875</v>
      </c>
      <c r="AL17" s="33">
        <f t="shared" si="10"/>
        <v>-9.1500898305896357</v>
      </c>
      <c r="AM17" s="33">
        <f t="shared" si="11"/>
        <v>9.1500898305896357</v>
      </c>
      <c r="AO17" s="37">
        <v>0.65</v>
      </c>
      <c r="AP17" s="33">
        <f>-'Member end forces'!$AP$16</f>
        <v>0</v>
      </c>
      <c r="AQ17" s="33">
        <f>IF(AO17*'Member end forces'!$C$6&lt;='Member end forces'!$F$28,IF($AO$1&lt;3,-1,1)*'Member end forces'!$AN$16,IF($AO$1&lt;3,-1,1)*'Member end forces'!$AN$16-'Member end forces'!$C$28)</f>
        <v>5</v>
      </c>
      <c r="AR17" s="33">
        <f>IF(AO17*'Member end forces'!$C$6&lt;='Member end forces'!$F$23-'Member end forces'!$I$23/2,0,IF(AO17*'Member end forces'!$C$6&lt;='Member end forces'!$F$23+'Member end forces'!$I$23/2,-'Member end forces'!$C$23*(AO17*'Member end forces'!$C$6-'Member end forces'!$F$23+'Member end forces'!$I$23/2),-'Member end forces'!$C$23*'Member end forces'!$I$23))</f>
        <v>0</v>
      </c>
      <c r="AS17" s="33">
        <f t="shared" si="12"/>
        <v>5</v>
      </c>
      <c r="AT17" s="33">
        <f>IF(AO17*'Member end forces'!$C$6&lt;='Member end forces'!$F$28,-'Member end forces'!$AL$16+IF($AO$1&lt;3,-1,1)*'Member end forces'!$AN$16*AO17*'Member end forces'!$C$6,-'Member end forces'!$AL$16+IF($AO$1&lt;3,-1,1)*'Member end forces'!$AN$16*AO17*'Member end forces'!$C$6-'Member end forces'!$C$28*(AO17*'Member end forces'!$C$6-'Member end forces'!$F$28))</f>
        <v>-2.25</v>
      </c>
      <c r="AU17" s="33">
        <f>IF(AO17*'Member end forces'!$C$6&lt;='Member end forces'!$F$23-'Member end forces'!$I$23/2,0,IF(AO17*'Member end forces'!$C$6&lt;='Member end forces'!$F$23+'Member end forces'!$I$23/2,-'Member end forces'!$C$23/2*(AO17*'Member end forces'!$C$6-'Member end forces'!$F$23+'Member end forces'!$I$23/2)^2,-'Member end forces'!$C$23*'Member end forces'!$I$23*(AO17*'Member end forces'!$C$6-'Member end forces'!$F$23)))</f>
        <v>0</v>
      </c>
      <c r="AV17" s="33">
        <f t="shared" si="13"/>
        <v>-2.25</v>
      </c>
      <c r="AW17" s="33">
        <f t="shared" si="14"/>
        <v>2.25</v>
      </c>
    </row>
    <row r="18" spans="1:49" x14ac:dyDescent="0.25">
      <c r="A18" s="37">
        <v>0.7</v>
      </c>
      <c r="B18" s="33">
        <f>-'Member end forces'!$AP$12</f>
        <v>-30.079884645907285</v>
      </c>
      <c r="C18" s="33">
        <f>IF(A18*'Member end forces'!$C$2&lt;='Member end forces'!$F$24,IF($A$1&lt;3,-1,1)*'Member end forces'!$AN$12,IF($A$1&lt;3,-1,1)*'Member end forces'!$AN$12-'Member end forces'!$C$24)</f>
        <v>35.945207700718186</v>
      </c>
      <c r="D18" s="33">
        <f>IF(A18*'Member end forces'!$C$2&lt;='Member end forces'!$F$19-'Member end forces'!$I$19/2,0,IF(A18*'Member end forces'!$C$2&lt;='Member end forces'!$F$19+'Member end forces'!$I$19/2,-'Member end forces'!$C$19*(A18*'Member end forces'!$C$2-'Member end forces'!$F$19+'Member end forces'!$I$19/2),-'Member end forces'!$C$19*'Member end forces'!$I$19))</f>
        <v>-36</v>
      </c>
      <c r="E18" s="33">
        <f t="shared" si="0"/>
        <v>-5.4792299281814394E-2</v>
      </c>
      <c r="F18" s="33">
        <f>IF(A18*'Member end forces'!$C$2&lt;='Member end forces'!$F$24,-'Member end forces'!$AL$12+IF($A$1&lt;3,-1,1)*'Member end forces'!$AN$12*A18*'Member end forces'!$C$2,-'Member end forces'!$AL$12+IF($A$1&lt;3,-1,1)*'Member end forces'!$AN$12*A18*'Member end forces'!$C$2-'Member end forces'!$C$24*(A18*'Member end forces'!$C$2-'Member end forces'!$F$24))</f>
        <v>52.174785829349837</v>
      </c>
      <c r="G18" s="33">
        <f>IF(A18*'Member end forces'!$C$2&lt;='Member end forces'!$F$19-'Member end forces'!$I$19/2,0,IF(A18*'Member end forces'!$C$2&lt;='Member end forces'!$F$19+'Member end forces'!$I$19/2,-'Member end forces'!$C$19/2*(A18*'Member end forces'!$C$2-'Member end forces'!$F$19+'Member end forces'!$I$19/2)^2,-'Member end forces'!$C$19*'Member end forces'!$I$19*(A18*'Member end forces'!$C$2-'Member end forces'!$F$19)))</f>
        <v>-32.399999999999991</v>
      </c>
      <c r="H18" s="33">
        <f t="shared" si="1"/>
        <v>19.774785829349845</v>
      </c>
      <c r="I18" s="33">
        <f t="shared" si="2"/>
        <v>-19.774785829349845</v>
      </c>
      <c r="K18" s="37">
        <v>0.7</v>
      </c>
      <c r="L18" s="33">
        <f>-'Member end forces'!$AP$13</f>
        <v>-61.920115354092715</v>
      </c>
      <c r="M18" s="33">
        <f>IF(K18*'Member end forces'!$C$3&lt;='Member end forces'!$F$25,IF($K$1&lt;3,-1,1)*'Member end forces'!$AN$13,IF($K$1&lt;3,-1,1)*'Member end forces'!$AN$13-'Member end forces'!$C$25)</f>
        <v>64.054792299281814</v>
      </c>
      <c r="N18" s="33">
        <f>IF(K18*'Member end forces'!$C$3&lt;='Member end forces'!$F$20-'Member end forces'!$I$20/2,0,IF(K18*'Member end forces'!$C$3&lt;='Member end forces'!$F$20+'Member end forces'!$I$20/2,-'Member end forces'!$C$20*(K18*'Member end forces'!$C$3-'Member end forces'!$F$20+'Member end forces'!$I$20/2),-'Member end forces'!$C$20*'Member end forces'!$I$20))</f>
        <v>-21.999999999999993</v>
      </c>
      <c r="O18" s="33">
        <f t="shared" si="3"/>
        <v>42.054792299281821</v>
      </c>
      <c r="P18" s="33">
        <f>IF(K18*'Member end forces'!$C$3&lt;='Member end forces'!$F$25,-'Member end forces'!$AL$13+IF($K$1&lt;3,-1,1)*'Member end forces'!$AN$13*K18*'Member end forces'!$C$3,-'Member end forces'!$AL$13+IF($K$1&lt;3,-1,1)*'Member end forces'!$AN$13*K18*'Member end forces'!$C$3-'Member end forces'!$C$25*(K18*'Member end forces'!$C$3-'Member end forces'!$F$25))</f>
        <v>41.892228630898273</v>
      </c>
      <c r="Q18" s="33">
        <f>IF(K18*'Member end forces'!$C$3&lt;='Member end forces'!$F$20-'Member end forces'!$I$20/2,0,IF(K18*'Member end forces'!$C$3&lt;='Member end forces'!$F$20+'Member end forces'!$I$20/2,-'Member end forces'!$C$20/2*(K18*'Member end forces'!$C$3-'Member end forces'!$F$20+'Member end forces'!$I$20/2)^2,-'Member end forces'!$C$20*'Member end forces'!$I$20*(K18*'Member end forces'!$C$3-'Member end forces'!$F$20)))</f>
        <v>-12.099999999999993</v>
      </c>
      <c r="R18" s="33">
        <f t="shared" si="4"/>
        <v>29.792228630898279</v>
      </c>
      <c r="S18" s="33">
        <f t="shared" si="5"/>
        <v>-29.792228630898279</v>
      </c>
      <c r="U18" s="37">
        <v>0.7</v>
      </c>
      <c r="V18" s="33">
        <f>-'Member end forces'!$AP$14</f>
        <v>0</v>
      </c>
      <c r="W18" s="33">
        <f>IF(U18*'Member end forces'!$C$4&lt;='Member end forces'!$F$26,IF($U$1&lt;3,-1,1)*'Member end forces'!$AN$14,IF($U$1&lt;3,-1,1)*'Member end forces'!$AN$14-'Member end forces'!$C$26)</f>
        <v>-2</v>
      </c>
      <c r="X18" s="33">
        <f>IF(U18*'Member end forces'!$C$4&lt;='Member end forces'!$F$21-'Member end forces'!$I$21/2,0,IF(U18*'Member end forces'!$C$4&lt;='Member end forces'!$F$21+'Member end forces'!$I$21/2,-'Member end forces'!$C$21*(U18*'Member end forces'!$C$4-'Member end forces'!$F$21+'Member end forces'!$I$21/2),-'Member end forces'!$C$21*'Member end forces'!$I$21))</f>
        <v>-1.9999999999999996</v>
      </c>
      <c r="Y18" s="33">
        <f t="shared" si="6"/>
        <v>-3.9999999999999996</v>
      </c>
      <c r="Z18" s="33">
        <f>IF(U18*'Member end forces'!$C$4&lt;='Member end forces'!$F$26,-'Member end forces'!$AL$14+IF($U$1&lt;3,-1,1)*'Member end forces'!$AN$14*U18*'Member end forces'!$C$4,-'Member end forces'!$AL$14+IF($U$1&lt;3,-1,1)*'Member end forces'!$AN$14*U18*'Member end forces'!$C$4-'Member end forces'!$C$26*(U18*'Member end forces'!$C$4-'Member end forces'!$F$26))</f>
        <v>-2.8</v>
      </c>
      <c r="AA18" s="33">
        <f>IF(U18*'Member end forces'!$C$4&lt;='Member end forces'!$F$21-'Member end forces'!$I$21/2,0,IF(U18*'Member end forces'!$C$4&lt;='Member end forces'!$F$21+'Member end forces'!$I$21/2,-'Member end forces'!$C$21/2*(U18*'Member end forces'!$C$4-'Member end forces'!$F$21+'Member end forces'!$I$21/2)^2,-'Member end forces'!$C$21*'Member end forces'!$I$21*(U18*'Member end forces'!$C$4-'Member end forces'!$F$21)))</f>
        <v>-0.3999999999999998</v>
      </c>
      <c r="AB18" s="33">
        <f t="shared" si="7"/>
        <v>-3.1999999999999997</v>
      </c>
      <c r="AC18" s="33">
        <f t="shared" si="8"/>
        <v>3.1999999999999997</v>
      </c>
      <c r="AE18" s="37">
        <v>0.7</v>
      </c>
      <c r="AF18" s="33">
        <f>-'Member end forces'!$AP$15</f>
        <v>-34.054792299281814</v>
      </c>
      <c r="AG18" s="33">
        <f>IF(AE18*'Member end forces'!$C$5&lt;='Member end forces'!$F$27,IF($AE$1&lt;3,-1,1)*'Member end forces'!$AN$15,IF($AE$1&lt;3,-1,1)*'Member end forces'!$AN$15-'Member end forces'!$C$27)</f>
        <v>3.0798846459072848</v>
      </c>
      <c r="AH18" s="33">
        <f>IF(AE18*'Member end forces'!$C$5&lt;='Member end forces'!$F$22-'Member end forces'!$I$22/2,0,IF(AE18*'Member end forces'!$C$5&lt;='Member end forces'!$F$22+'Member end forces'!$I$22/2,-'Member end forces'!$C$22*(AE18*'Member end forces'!$C$5-'Member end forces'!$F$22+'Member end forces'!$I$22/2),-'Member end forces'!$C$22*'Member end forces'!$I$22))</f>
        <v>-37.5</v>
      </c>
      <c r="AI18" s="33">
        <f t="shared" si="9"/>
        <v>-34.420115354092715</v>
      </c>
      <c r="AJ18" s="33">
        <f>IF(AE18*'Member end forces'!$C$5&lt;='Member end forces'!$F$27,-'Member end forces'!$AL$15+IF($AE$1&lt;3,-1,1)*'Member end forces'!$AN$15*AE18*'Member end forces'!$C$5,-'Member end forces'!$AL$15+IF($AE$1&lt;3,-1,1)*'Member end forces'!$AN$15*AE18*'Member end forces'!$C$5-'Member end forces'!$C$27*(AE18*'Member end forces'!$C$5-'Member end forces'!$F$27))</f>
        <v>29.588631330887196</v>
      </c>
      <c r="AK18" s="33">
        <f>IF(AE18*'Member end forces'!$C$5&lt;='Member end forces'!$F$22-'Member end forces'!$I$22/2,0,IF(AE18*'Member end forces'!$C$5&lt;='Member end forces'!$F$22+'Member end forces'!$I$22/2,-'Member end forces'!$C$22/2*(AE18*'Member end forces'!$C$5-'Member end forces'!$F$22+'Member end forces'!$I$22/2)^2,-'Member end forces'!$C$22*'Member end forces'!$I$22*(AE18*'Member end forces'!$C$5-'Member end forces'!$F$22)))</f>
        <v>-46.875</v>
      </c>
      <c r="AL18" s="33">
        <f t="shared" si="10"/>
        <v>-17.286368669112804</v>
      </c>
      <c r="AM18" s="33">
        <f t="shared" si="11"/>
        <v>17.286368669112804</v>
      </c>
      <c r="AO18" s="37">
        <v>0.7</v>
      </c>
      <c r="AP18" s="33">
        <f>-'Member end forces'!$AP$16</f>
        <v>0</v>
      </c>
      <c r="AQ18" s="33">
        <f>IF(AO18*'Member end forces'!$C$6&lt;='Member end forces'!$F$28,IF($AO$1&lt;3,-1,1)*'Member end forces'!$AN$16,IF($AO$1&lt;3,-1,1)*'Member end forces'!$AN$16-'Member end forces'!$C$28)</f>
        <v>5</v>
      </c>
      <c r="AR18" s="33">
        <f>IF(AO18*'Member end forces'!$C$6&lt;='Member end forces'!$F$23-'Member end forces'!$I$23/2,0,IF(AO18*'Member end forces'!$C$6&lt;='Member end forces'!$F$23+'Member end forces'!$I$23/2,-'Member end forces'!$C$23*(AO18*'Member end forces'!$C$6-'Member end forces'!$F$23+'Member end forces'!$I$23/2),-'Member end forces'!$C$23*'Member end forces'!$I$23))</f>
        <v>0</v>
      </c>
      <c r="AS18" s="33">
        <f t="shared" si="12"/>
        <v>5</v>
      </c>
      <c r="AT18" s="33">
        <f>IF(AO18*'Member end forces'!$C$6&lt;='Member end forces'!$F$28,-'Member end forces'!$AL$16+IF($AO$1&lt;3,-1,1)*'Member end forces'!$AN$16*AO18*'Member end forces'!$C$6,-'Member end forces'!$AL$16+IF($AO$1&lt;3,-1,1)*'Member end forces'!$AN$16*AO18*'Member end forces'!$C$6-'Member end forces'!$C$28*(AO18*'Member end forces'!$C$6-'Member end forces'!$F$28))</f>
        <v>-1.7499999999999982</v>
      </c>
      <c r="AU18" s="33">
        <f>IF(AO18*'Member end forces'!$C$6&lt;='Member end forces'!$F$23-'Member end forces'!$I$23/2,0,IF(AO18*'Member end forces'!$C$6&lt;='Member end forces'!$F$23+'Member end forces'!$I$23/2,-'Member end forces'!$C$23/2*(AO18*'Member end forces'!$C$6-'Member end forces'!$F$23+'Member end forces'!$I$23/2)^2,-'Member end forces'!$C$23*'Member end forces'!$I$23*(AO18*'Member end forces'!$C$6-'Member end forces'!$F$23)))</f>
        <v>0</v>
      </c>
      <c r="AV18" s="33">
        <f t="shared" si="13"/>
        <v>-1.7499999999999982</v>
      </c>
      <c r="AW18" s="33">
        <f t="shared" si="14"/>
        <v>1.7499999999999982</v>
      </c>
    </row>
    <row r="19" spans="1:49" x14ac:dyDescent="0.25">
      <c r="A19" s="37">
        <v>0.75</v>
      </c>
      <c r="B19" s="33">
        <f>-'Member end forces'!$AP$12</f>
        <v>-30.079884645907285</v>
      </c>
      <c r="C19" s="33">
        <f>IF(A19*'Member end forces'!$C$2&lt;='Member end forces'!$F$24,IF($A$1&lt;3,-1,1)*'Member end forces'!$AN$12,IF($A$1&lt;3,-1,1)*'Member end forces'!$AN$12-'Member end forces'!$C$24)</f>
        <v>35.945207700718186</v>
      </c>
      <c r="D19" s="33">
        <f>IF(A19*'Member end forces'!$C$2&lt;='Member end forces'!$F$19-'Member end forces'!$I$19/2,0,IF(A19*'Member end forces'!$C$2&lt;='Member end forces'!$F$19+'Member end forces'!$I$19/2,-'Member end forces'!$C$19*(A19*'Member end forces'!$C$2-'Member end forces'!$F$19+'Member end forces'!$I$19/2),-'Member end forces'!$C$19*'Member end forces'!$I$19))</f>
        <v>-40</v>
      </c>
      <c r="E19" s="33">
        <f t="shared" si="0"/>
        <v>-4.0547922992818144</v>
      </c>
      <c r="F19" s="33">
        <f>IF(A19*'Member end forces'!$C$2&lt;='Member end forces'!$F$24,-'Member end forces'!$AL$12+IF($A$1&lt;3,-1,1)*'Member end forces'!$AN$12*A19*'Member end forces'!$C$2,-'Member end forces'!$AL$12+IF($A$1&lt;3,-1,1)*'Member end forces'!$AN$12*A19*'Member end forces'!$C$2-'Member end forces'!$C$24*(A19*'Member end forces'!$C$2-'Member end forces'!$F$24))</f>
        <v>59.363827369493485</v>
      </c>
      <c r="G19" s="33">
        <f>IF(A19*'Member end forces'!$C$2&lt;='Member end forces'!$F$19-'Member end forces'!$I$19/2,0,IF(A19*'Member end forces'!$C$2&lt;='Member end forces'!$F$19+'Member end forces'!$I$19/2,-'Member end forces'!$C$19/2*(A19*'Member end forces'!$C$2-'Member end forces'!$F$19+'Member end forces'!$I$19/2)^2,-'Member end forces'!$C$19*'Member end forces'!$I$19*(A19*'Member end forces'!$C$2-'Member end forces'!$F$19)))</f>
        <v>-40</v>
      </c>
      <c r="H19" s="33">
        <f t="shared" si="1"/>
        <v>19.363827369493485</v>
      </c>
      <c r="I19" s="33">
        <f t="shared" si="2"/>
        <v>-19.363827369493485</v>
      </c>
      <c r="K19" s="37">
        <v>0.75</v>
      </c>
      <c r="L19" s="33">
        <f>-'Member end forces'!$AP$13</f>
        <v>-61.920115354092715</v>
      </c>
      <c r="M19" s="33">
        <f>IF(K19*'Member end forces'!$C$3&lt;='Member end forces'!$F$25,IF($K$1&lt;3,-1,1)*'Member end forces'!$AN$13,IF($K$1&lt;3,-1,1)*'Member end forces'!$AN$13-'Member end forces'!$C$25)</f>
        <v>64.054792299281814</v>
      </c>
      <c r="N19" s="33">
        <f>IF(K19*'Member end forces'!$C$3&lt;='Member end forces'!$F$20-'Member end forces'!$I$20/2,0,IF(K19*'Member end forces'!$C$3&lt;='Member end forces'!$F$20+'Member end forces'!$I$20/2,-'Member end forces'!$C$20*(K19*'Member end forces'!$C$3-'Member end forces'!$F$20+'Member end forces'!$I$20/2),-'Member end forces'!$C$20*'Member end forces'!$I$20))</f>
        <v>-25</v>
      </c>
      <c r="O19" s="33">
        <f t="shared" si="3"/>
        <v>39.054792299281814</v>
      </c>
      <c r="P19" s="33">
        <f>IF(K19*'Member end forces'!$C$3&lt;='Member end forces'!$F$25,-'Member end forces'!$AL$13+IF($K$1&lt;3,-1,1)*'Member end forces'!$AN$13*K19*'Member end forces'!$C$3,-'Member end forces'!$AL$13+IF($K$1&lt;3,-1,1)*'Member end forces'!$AN$13*K19*'Member end forces'!$C$3-'Member end forces'!$C$25*(K19*'Member end forces'!$C$3-'Member end forces'!$F$25))</f>
        <v>51.500447475790551</v>
      </c>
      <c r="Q19" s="33">
        <f>IF(K19*'Member end forces'!$C$3&lt;='Member end forces'!$F$20-'Member end forces'!$I$20/2,0,IF(K19*'Member end forces'!$C$3&lt;='Member end forces'!$F$20+'Member end forces'!$I$20/2,-'Member end forces'!$C$20/2*(K19*'Member end forces'!$C$3-'Member end forces'!$F$20+'Member end forces'!$I$20/2)^2,-'Member end forces'!$C$20*'Member end forces'!$I$20*(K19*'Member end forces'!$C$3-'Member end forces'!$F$20)))</f>
        <v>-15.625</v>
      </c>
      <c r="R19" s="33">
        <f t="shared" si="4"/>
        <v>35.875447475790551</v>
      </c>
      <c r="S19" s="33">
        <f t="shared" si="5"/>
        <v>-35.875447475790551</v>
      </c>
      <c r="U19" s="37">
        <v>0.75</v>
      </c>
      <c r="V19" s="33">
        <f>-'Member end forces'!$AP$14</f>
        <v>0</v>
      </c>
      <c r="W19" s="33">
        <f>IF(U19*'Member end forces'!$C$4&lt;='Member end forces'!$F$26,IF($U$1&lt;3,-1,1)*'Member end forces'!$AN$14,IF($U$1&lt;3,-1,1)*'Member end forces'!$AN$14-'Member end forces'!$C$26)</f>
        <v>-2</v>
      </c>
      <c r="X19" s="33">
        <f>IF(U19*'Member end forces'!$C$4&lt;='Member end forces'!$F$21-'Member end forces'!$I$21/2,0,IF(U19*'Member end forces'!$C$4&lt;='Member end forces'!$F$21+'Member end forces'!$I$21/2,-'Member end forces'!$C$21*(U19*'Member end forces'!$C$4-'Member end forces'!$F$21+'Member end forces'!$I$21/2),-'Member end forces'!$C$21*'Member end forces'!$I$21))</f>
        <v>-2.5</v>
      </c>
      <c r="Y19" s="33">
        <f t="shared" si="6"/>
        <v>-4.5</v>
      </c>
      <c r="Z19" s="33">
        <f>IF(U19*'Member end forces'!$C$4&lt;='Member end forces'!$F$26,-'Member end forces'!$AL$14+IF($U$1&lt;3,-1,1)*'Member end forces'!$AN$14*U19*'Member end forces'!$C$4,-'Member end forces'!$AL$14+IF($U$1&lt;3,-1,1)*'Member end forces'!$AN$14*U19*'Member end forces'!$C$4-'Member end forces'!$C$26*(U19*'Member end forces'!$C$4-'Member end forces'!$F$26))</f>
        <v>-3</v>
      </c>
      <c r="AA19" s="33">
        <f>IF(U19*'Member end forces'!$C$4&lt;='Member end forces'!$F$21-'Member end forces'!$I$21/2,0,IF(U19*'Member end forces'!$C$4&lt;='Member end forces'!$F$21+'Member end forces'!$I$21/2,-'Member end forces'!$C$21/2*(U19*'Member end forces'!$C$4-'Member end forces'!$F$21+'Member end forces'!$I$21/2)^2,-'Member end forces'!$C$21*'Member end forces'!$I$21*(U19*'Member end forces'!$C$4-'Member end forces'!$F$21)))</f>
        <v>-0.625</v>
      </c>
      <c r="AB19" s="33">
        <f t="shared" si="7"/>
        <v>-3.625</v>
      </c>
      <c r="AC19" s="33">
        <f t="shared" si="8"/>
        <v>3.625</v>
      </c>
      <c r="AE19" s="37">
        <v>0.75</v>
      </c>
      <c r="AF19" s="33">
        <f>-'Member end forces'!$AP$15</f>
        <v>-34.054792299281814</v>
      </c>
      <c r="AG19" s="33">
        <f>IF(AE19*'Member end forces'!$C$5&lt;='Member end forces'!$F$27,IF($AE$1&lt;3,-1,1)*'Member end forces'!$AN$15,IF($AE$1&lt;3,-1,1)*'Member end forces'!$AN$15-'Member end forces'!$C$27)</f>
        <v>3.0798846459072848</v>
      </c>
      <c r="AH19" s="33">
        <f>IF(AE19*'Member end forces'!$C$5&lt;='Member end forces'!$F$22-'Member end forces'!$I$22/2,0,IF(AE19*'Member end forces'!$C$5&lt;='Member end forces'!$F$22+'Member end forces'!$I$22/2,-'Member end forces'!$C$22*(AE19*'Member end forces'!$C$5-'Member end forces'!$F$22+'Member end forces'!$I$22/2),-'Member end forces'!$C$22*'Member end forces'!$I$22))</f>
        <v>-41.25</v>
      </c>
      <c r="AI19" s="33">
        <f t="shared" si="9"/>
        <v>-38.170115354092715</v>
      </c>
      <c r="AJ19" s="33">
        <f>IF(AE19*'Member end forces'!$C$5&lt;='Member end forces'!$F$27,-'Member end forces'!$AL$15+IF($AE$1&lt;3,-1,1)*'Member end forces'!$AN$15*AE19*'Member end forces'!$C$5,-'Member end forces'!$AL$15+IF($AE$1&lt;3,-1,1)*'Member end forces'!$AN$15*AE19*'Member end forces'!$C$5-'Member end forces'!$C$27*(AE19*'Member end forces'!$C$5-'Member end forces'!$F$27))</f>
        <v>30.358602492364014</v>
      </c>
      <c r="AK19" s="33">
        <f>IF(AE19*'Member end forces'!$C$5&lt;='Member end forces'!$F$22-'Member end forces'!$I$22/2,0,IF(AE19*'Member end forces'!$C$5&lt;='Member end forces'!$F$22+'Member end forces'!$I$22/2,-'Member end forces'!$C$22/2*(AE19*'Member end forces'!$C$5-'Member end forces'!$F$22+'Member end forces'!$I$22/2)^2,-'Member end forces'!$C$22*'Member end forces'!$I$22*(AE19*'Member end forces'!$C$5-'Member end forces'!$F$22)))</f>
        <v>-56.71875</v>
      </c>
      <c r="AL19" s="33">
        <f t="shared" si="10"/>
        <v>-26.360147507635986</v>
      </c>
      <c r="AM19" s="33">
        <f t="shared" si="11"/>
        <v>26.360147507635986</v>
      </c>
      <c r="AO19" s="37">
        <v>0.75</v>
      </c>
      <c r="AP19" s="33">
        <f>-'Member end forces'!$AP$16</f>
        <v>0</v>
      </c>
      <c r="AQ19" s="33">
        <f>IF(AO19*'Member end forces'!$C$6&lt;='Member end forces'!$F$28,IF($AO$1&lt;3,-1,1)*'Member end forces'!$AN$16,IF($AO$1&lt;3,-1,1)*'Member end forces'!$AN$16-'Member end forces'!$C$28)</f>
        <v>5</v>
      </c>
      <c r="AR19" s="33">
        <f>IF(AO19*'Member end forces'!$C$6&lt;='Member end forces'!$F$23-'Member end forces'!$I$23/2,0,IF(AO19*'Member end forces'!$C$6&lt;='Member end forces'!$F$23+'Member end forces'!$I$23/2,-'Member end forces'!$C$23*(AO19*'Member end forces'!$C$6-'Member end forces'!$F$23+'Member end forces'!$I$23/2),-'Member end forces'!$C$23*'Member end forces'!$I$23))</f>
        <v>0</v>
      </c>
      <c r="AS19" s="33">
        <f t="shared" si="12"/>
        <v>5</v>
      </c>
      <c r="AT19" s="33">
        <f>IF(AO19*'Member end forces'!$C$6&lt;='Member end forces'!$F$28,-'Member end forces'!$AL$16+IF($AO$1&lt;3,-1,1)*'Member end forces'!$AN$16*AO19*'Member end forces'!$C$6,-'Member end forces'!$AL$16+IF($AO$1&lt;3,-1,1)*'Member end forces'!$AN$16*AO19*'Member end forces'!$C$6-'Member end forces'!$C$28*(AO19*'Member end forces'!$C$6-'Member end forces'!$F$28))</f>
        <v>-1.25</v>
      </c>
      <c r="AU19" s="33">
        <f>IF(AO19*'Member end forces'!$C$6&lt;='Member end forces'!$F$23-'Member end forces'!$I$23/2,0,IF(AO19*'Member end forces'!$C$6&lt;='Member end forces'!$F$23+'Member end forces'!$I$23/2,-'Member end forces'!$C$23/2*(AO19*'Member end forces'!$C$6-'Member end forces'!$F$23+'Member end forces'!$I$23/2)^2,-'Member end forces'!$C$23*'Member end forces'!$I$23*(AO19*'Member end forces'!$C$6-'Member end forces'!$F$23)))</f>
        <v>0</v>
      </c>
      <c r="AV19" s="33">
        <f t="shared" si="13"/>
        <v>-1.25</v>
      </c>
      <c r="AW19" s="33">
        <f t="shared" si="14"/>
        <v>1.25</v>
      </c>
    </row>
    <row r="20" spans="1:49" x14ac:dyDescent="0.25">
      <c r="A20" s="37">
        <v>0.8</v>
      </c>
      <c r="B20" s="33">
        <f>-'Member end forces'!$AP$12</f>
        <v>-30.079884645907285</v>
      </c>
      <c r="C20" s="33">
        <f>IF(A20*'Member end forces'!$C$2&lt;='Member end forces'!$F$24,IF($A$1&lt;3,-1,1)*'Member end forces'!$AN$12,IF($A$1&lt;3,-1,1)*'Member end forces'!$AN$12-'Member end forces'!$C$24)</f>
        <v>25.945207700718186</v>
      </c>
      <c r="D20" s="33">
        <f>IF(A20*'Member end forces'!$C$2&lt;='Member end forces'!$F$19-'Member end forces'!$I$19/2,0,IF(A20*'Member end forces'!$C$2&lt;='Member end forces'!$F$19+'Member end forces'!$I$19/2,-'Member end forces'!$C$19*(A20*'Member end forces'!$C$2-'Member end forces'!$F$19+'Member end forces'!$I$19/2),-'Member end forces'!$C$19*'Member end forces'!$I$19))</f>
        <v>-44</v>
      </c>
      <c r="E20" s="33">
        <f t="shared" si="0"/>
        <v>-18.054792299281814</v>
      </c>
      <c r="F20" s="33">
        <f>IF(A20*'Member end forces'!$C$2&lt;='Member end forces'!$F$24,-'Member end forces'!$AL$12+IF($A$1&lt;3,-1,1)*'Member end forces'!$AN$12*A20*'Member end forces'!$C$2,-'Member end forces'!$AL$12+IF($A$1&lt;3,-1,1)*'Member end forces'!$AN$12*A20*'Member end forces'!$C$2-'Member end forces'!$C$24*(A20*'Member end forces'!$C$2-'Member end forces'!$F$24))</f>
        <v>64.552868909637141</v>
      </c>
      <c r="G20" s="33">
        <f>IF(A20*'Member end forces'!$C$2&lt;='Member end forces'!$F$19-'Member end forces'!$I$19/2,0,IF(A20*'Member end forces'!$C$2&lt;='Member end forces'!$F$19+'Member end forces'!$I$19/2,-'Member end forces'!$C$19/2*(A20*'Member end forces'!$C$2-'Member end forces'!$F$19+'Member end forces'!$I$19/2)^2,-'Member end forces'!$C$19*'Member end forces'!$I$19*(A20*'Member end forces'!$C$2-'Member end forces'!$F$19)))</f>
        <v>-48.400000000000006</v>
      </c>
      <c r="H20" s="33">
        <f t="shared" si="1"/>
        <v>16.152868909637135</v>
      </c>
      <c r="I20" s="33">
        <f t="shared" si="2"/>
        <v>-16.152868909637135</v>
      </c>
      <c r="K20" s="37">
        <v>0.8</v>
      </c>
      <c r="L20" s="33">
        <f>-'Member end forces'!$AP$13</f>
        <v>-61.920115354092715</v>
      </c>
      <c r="M20" s="33">
        <f>IF(K20*'Member end forces'!$C$3&lt;='Member end forces'!$F$25,IF($K$1&lt;3,-1,1)*'Member end forces'!$AN$13,IF($K$1&lt;3,-1,1)*'Member end forces'!$AN$13-'Member end forces'!$C$25)</f>
        <v>64.054792299281814</v>
      </c>
      <c r="N20" s="33">
        <f>IF(K20*'Member end forces'!$C$3&lt;='Member end forces'!$F$20-'Member end forces'!$I$20/2,0,IF(K20*'Member end forces'!$C$3&lt;='Member end forces'!$F$20+'Member end forces'!$I$20/2,-'Member end forces'!$C$20*(K20*'Member end forces'!$C$3-'Member end forces'!$F$20+'Member end forces'!$I$20/2),-'Member end forces'!$C$20*'Member end forces'!$I$20))</f>
        <v>-28.000000000000007</v>
      </c>
      <c r="O20" s="33">
        <f t="shared" si="3"/>
        <v>36.054792299281807</v>
      </c>
      <c r="P20" s="33">
        <f>IF(K20*'Member end forces'!$C$3&lt;='Member end forces'!$F$25,-'Member end forces'!$AL$13+IF($K$1&lt;3,-1,1)*'Member end forces'!$AN$13*K20*'Member end forces'!$C$3,-'Member end forces'!$AL$13+IF($K$1&lt;3,-1,1)*'Member end forces'!$AN$13*K20*'Member end forces'!$C$3-'Member end forces'!$C$25*(K20*'Member end forces'!$C$3-'Member end forces'!$F$25))</f>
        <v>61.108666320682772</v>
      </c>
      <c r="Q20" s="33">
        <f>IF(K20*'Member end forces'!$C$3&lt;='Member end forces'!$F$20-'Member end forces'!$I$20/2,0,IF(K20*'Member end forces'!$C$3&lt;='Member end forces'!$F$20+'Member end forces'!$I$20/2,-'Member end forces'!$C$20/2*(K20*'Member end forces'!$C$3-'Member end forces'!$F$20+'Member end forces'!$I$20/2)^2,-'Member end forces'!$C$20*'Member end forces'!$I$20*(K20*'Member end forces'!$C$3-'Member end forces'!$F$20)))</f>
        <v>-19.600000000000012</v>
      </c>
      <c r="R20" s="33">
        <f t="shared" si="4"/>
        <v>41.508666320682764</v>
      </c>
      <c r="S20" s="33">
        <f t="shared" si="5"/>
        <v>-41.508666320682764</v>
      </c>
      <c r="U20" s="37">
        <v>0.8</v>
      </c>
      <c r="V20" s="33">
        <f>-'Member end forces'!$AP$14</f>
        <v>0</v>
      </c>
      <c r="W20" s="33">
        <f>IF(U20*'Member end forces'!$C$4&lt;='Member end forces'!$F$26,IF($U$1&lt;3,-1,1)*'Member end forces'!$AN$14,IF($U$1&lt;3,-1,1)*'Member end forces'!$AN$14-'Member end forces'!$C$26)</f>
        <v>-2</v>
      </c>
      <c r="X20" s="33">
        <f>IF(U20*'Member end forces'!$C$4&lt;='Member end forces'!$F$21-'Member end forces'!$I$21/2,0,IF(U20*'Member end forces'!$C$4&lt;='Member end forces'!$F$21+'Member end forces'!$I$21/2,-'Member end forces'!$C$21*(U20*'Member end forces'!$C$4-'Member end forces'!$F$21+'Member end forces'!$I$21/2),-'Member end forces'!$C$21*'Member end forces'!$I$21))</f>
        <v>-3.0000000000000004</v>
      </c>
      <c r="Y20" s="33">
        <f t="shared" si="6"/>
        <v>-5</v>
      </c>
      <c r="Z20" s="33">
        <f>IF(U20*'Member end forces'!$C$4&lt;='Member end forces'!$F$26,-'Member end forces'!$AL$14+IF($U$1&lt;3,-1,1)*'Member end forces'!$AN$14*U20*'Member end forces'!$C$4,-'Member end forces'!$AL$14+IF($U$1&lt;3,-1,1)*'Member end forces'!$AN$14*U20*'Member end forces'!$C$4-'Member end forces'!$C$26*(U20*'Member end forces'!$C$4-'Member end forces'!$F$26))</f>
        <v>-3.2</v>
      </c>
      <c r="AA20" s="33">
        <f>IF(U20*'Member end forces'!$C$4&lt;='Member end forces'!$F$21-'Member end forces'!$I$21/2,0,IF(U20*'Member end forces'!$C$4&lt;='Member end forces'!$F$21+'Member end forces'!$I$21/2,-'Member end forces'!$C$21/2*(U20*'Member end forces'!$C$4-'Member end forces'!$F$21+'Member end forces'!$I$21/2)^2,-'Member end forces'!$C$21*'Member end forces'!$I$21*(U20*'Member end forces'!$C$4-'Member end forces'!$F$21)))</f>
        <v>-0.90000000000000024</v>
      </c>
      <c r="AB20" s="33">
        <f t="shared" si="7"/>
        <v>-4.1000000000000005</v>
      </c>
      <c r="AC20" s="33">
        <f t="shared" si="8"/>
        <v>4.1000000000000005</v>
      </c>
      <c r="AE20" s="37">
        <v>0.8</v>
      </c>
      <c r="AF20" s="33">
        <f>-'Member end forces'!$AP$15</f>
        <v>-34.054792299281814</v>
      </c>
      <c r="AG20" s="33">
        <f>IF(AE20*'Member end forces'!$C$5&lt;='Member end forces'!$F$27,IF($AE$1&lt;3,-1,1)*'Member end forces'!$AN$15,IF($AE$1&lt;3,-1,1)*'Member end forces'!$AN$15-'Member end forces'!$C$27)</f>
        <v>3.0798846459072848</v>
      </c>
      <c r="AH20" s="33">
        <f>IF(AE20*'Member end forces'!$C$5&lt;='Member end forces'!$F$22-'Member end forces'!$I$22/2,0,IF(AE20*'Member end forces'!$C$5&lt;='Member end forces'!$F$22+'Member end forces'!$I$22/2,-'Member end forces'!$C$22*(AE20*'Member end forces'!$C$5-'Member end forces'!$F$22+'Member end forces'!$I$22/2),-'Member end forces'!$C$22*'Member end forces'!$I$22))</f>
        <v>-45</v>
      </c>
      <c r="AI20" s="33">
        <f t="shared" si="9"/>
        <v>-41.920115354092715</v>
      </c>
      <c r="AJ20" s="33">
        <f>IF(AE20*'Member end forces'!$C$5&lt;='Member end forces'!$F$27,-'Member end forces'!$AL$15+IF($AE$1&lt;3,-1,1)*'Member end forces'!$AN$15*AE20*'Member end forces'!$C$5,-'Member end forces'!$AL$15+IF($AE$1&lt;3,-1,1)*'Member end forces'!$AN$15*AE20*'Member end forces'!$C$5-'Member end forces'!$C$27*(AE20*'Member end forces'!$C$5-'Member end forces'!$F$27))</f>
        <v>31.128573653840832</v>
      </c>
      <c r="AK20" s="33">
        <f>IF(AE20*'Member end forces'!$C$5&lt;='Member end forces'!$F$22-'Member end forces'!$I$22/2,0,IF(AE20*'Member end forces'!$C$5&lt;='Member end forces'!$F$22+'Member end forces'!$I$22/2,-'Member end forces'!$C$22/2*(AE20*'Member end forces'!$C$5-'Member end forces'!$F$22+'Member end forces'!$I$22/2)^2,-'Member end forces'!$C$22*'Member end forces'!$I$22*(AE20*'Member end forces'!$C$5-'Member end forces'!$F$22)))</f>
        <v>-67.5</v>
      </c>
      <c r="AL20" s="33">
        <f t="shared" si="10"/>
        <v>-36.371426346159168</v>
      </c>
      <c r="AM20" s="33">
        <f t="shared" si="11"/>
        <v>36.371426346159168</v>
      </c>
      <c r="AO20" s="37">
        <v>0.8</v>
      </c>
      <c r="AP20" s="33">
        <f>-'Member end forces'!$AP$16</f>
        <v>0</v>
      </c>
      <c r="AQ20" s="33">
        <f>IF(AO20*'Member end forces'!$C$6&lt;='Member end forces'!$F$28,IF($AO$1&lt;3,-1,1)*'Member end forces'!$AN$16,IF($AO$1&lt;3,-1,1)*'Member end forces'!$AN$16-'Member end forces'!$C$28)</f>
        <v>5</v>
      </c>
      <c r="AR20" s="33">
        <f>IF(AO20*'Member end forces'!$C$6&lt;='Member end forces'!$F$23-'Member end forces'!$I$23/2,0,IF(AO20*'Member end forces'!$C$6&lt;='Member end forces'!$F$23+'Member end forces'!$I$23/2,-'Member end forces'!$C$23*(AO20*'Member end forces'!$C$6-'Member end forces'!$F$23+'Member end forces'!$I$23/2),-'Member end forces'!$C$23*'Member end forces'!$I$23))</f>
        <v>-1.0000000000000009</v>
      </c>
      <c r="AS20" s="33">
        <f t="shared" si="12"/>
        <v>3.9999999999999991</v>
      </c>
      <c r="AT20" s="33">
        <f>IF(AO20*'Member end forces'!$C$6&lt;='Member end forces'!$F$28,-'Member end forces'!$AL$16+IF($AO$1&lt;3,-1,1)*'Member end forces'!$AN$16*AO20*'Member end forces'!$C$6,-'Member end forces'!$AL$16+IF($AO$1&lt;3,-1,1)*'Member end forces'!$AN$16*AO20*'Member end forces'!$C$6-'Member end forces'!$C$28*(AO20*'Member end forces'!$C$6-'Member end forces'!$F$28))</f>
        <v>-0.75</v>
      </c>
      <c r="AU20" s="33">
        <f>IF(AO20*'Member end forces'!$C$6&lt;='Member end forces'!$F$23-'Member end forces'!$I$23/2,0,IF(AO20*'Member end forces'!$C$6&lt;='Member end forces'!$F$23+'Member end forces'!$I$23/2,-'Member end forces'!$C$23/2*(AO20*'Member end forces'!$C$6-'Member end forces'!$F$23+'Member end forces'!$I$23/2)^2,-'Member end forces'!$C$23*'Member end forces'!$I$23*(AO20*'Member end forces'!$C$6-'Member end forces'!$F$23)))</f>
        <v>-5.0000000000000086E-2</v>
      </c>
      <c r="AV20" s="33">
        <f t="shared" si="13"/>
        <v>-0.8</v>
      </c>
      <c r="AW20" s="33">
        <f t="shared" si="14"/>
        <v>0.8</v>
      </c>
    </row>
    <row r="21" spans="1:49" ht="15.75" customHeight="1" x14ac:dyDescent="0.25">
      <c r="A21" s="37">
        <v>0.85</v>
      </c>
      <c r="B21" s="33">
        <f>-'Member end forces'!$AP$12</f>
        <v>-30.079884645907285</v>
      </c>
      <c r="C21" s="33">
        <f>IF(A21*'Member end forces'!$C$2&lt;='Member end forces'!$F$24,IF($A$1&lt;3,-1,1)*'Member end forces'!$AN$12,IF($A$1&lt;3,-1,1)*'Member end forces'!$AN$12-'Member end forces'!$C$24)</f>
        <v>25.945207700718186</v>
      </c>
      <c r="D21" s="33">
        <f>IF(A21*'Member end forces'!$C$2&lt;='Member end forces'!$F$19-'Member end forces'!$I$19/2,0,IF(A21*'Member end forces'!$C$2&lt;='Member end forces'!$F$19+'Member end forces'!$I$19/2,-'Member end forces'!$C$19*(A21*'Member end forces'!$C$2-'Member end forces'!$F$19+'Member end forces'!$I$19/2),-'Member end forces'!$C$19*'Member end forces'!$I$19))</f>
        <v>-48</v>
      </c>
      <c r="E21" s="33">
        <f t="shared" si="0"/>
        <v>-22.054792299281814</v>
      </c>
      <c r="F21" s="33">
        <f>IF(A21*'Member end forces'!$C$2&lt;='Member end forces'!$F$24,-'Member end forces'!$AL$12+IF($A$1&lt;3,-1,1)*'Member end forces'!$AN$12*A21*'Member end forces'!$C$2,-'Member end forces'!$AL$12+IF($A$1&lt;3,-1,1)*'Member end forces'!$AN$12*A21*'Member end forces'!$C$2-'Member end forces'!$C$24*(A21*'Member end forces'!$C$2-'Member end forces'!$F$24))</f>
        <v>69.741910449780761</v>
      </c>
      <c r="G21" s="33">
        <f>IF(A21*'Member end forces'!$C$2&lt;='Member end forces'!$F$19-'Member end forces'!$I$19/2,0,IF(A21*'Member end forces'!$C$2&lt;='Member end forces'!$F$19+'Member end forces'!$I$19/2,-'Member end forces'!$C$19/2*(A21*'Member end forces'!$C$2-'Member end forces'!$F$19+'Member end forces'!$I$19/2)^2,-'Member end forces'!$C$19*'Member end forces'!$I$19*(A21*'Member end forces'!$C$2-'Member end forces'!$F$19)))</f>
        <v>-57.599999999999994</v>
      </c>
      <c r="H21" s="33">
        <f t="shared" si="1"/>
        <v>12.141910449780767</v>
      </c>
      <c r="I21" s="33">
        <f t="shared" si="2"/>
        <v>-12.141910449780767</v>
      </c>
      <c r="K21" s="37">
        <v>0.85</v>
      </c>
      <c r="L21" s="33">
        <f>-'Member end forces'!$AP$13</f>
        <v>-61.920115354092715</v>
      </c>
      <c r="M21" s="33">
        <f>IF(K21*'Member end forces'!$C$3&lt;='Member end forces'!$F$25,IF($K$1&lt;3,-1,1)*'Member end forces'!$AN$13,IF($K$1&lt;3,-1,1)*'Member end forces'!$AN$13-'Member end forces'!$C$25)</f>
        <v>64.054792299281814</v>
      </c>
      <c r="N21" s="33">
        <f>IF(K21*'Member end forces'!$C$3&lt;='Member end forces'!$F$20-'Member end forces'!$I$20/2,0,IF(K21*'Member end forces'!$C$3&lt;='Member end forces'!$F$20+'Member end forces'!$I$20/2,-'Member end forces'!$C$20*(K21*'Member end forces'!$C$3-'Member end forces'!$F$20+'Member end forces'!$I$20/2),-'Member end forces'!$C$20*'Member end forces'!$I$20))</f>
        <v>-30</v>
      </c>
      <c r="O21" s="33">
        <f t="shared" si="3"/>
        <v>34.054792299281814</v>
      </c>
      <c r="P21" s="33">
        <f>IF(K21*'Member end forces'!$C$3&lt;='Member end forces'!$F$25,-'Member end forces'!$AL$13+IF($K$1&lt;3,-1,1)*'Member end forces'!$AN$13*K21*'Member end forces'!$C$3,-'Member end forces'!$AL$13+IF($K$1&lt;3,-1,1)*'Member end forces'!$AN$13*K21*'Member end forces'!$C$3-'Member end forces'!$C$25*(K21*'Member end forces'!$C$3-'Member end forces'!$F$25))</f>
        <v>70.716885165575093</v>
      </c>
      <c r="Q21" s="33">
        <f>IF(K21*'Member end forces'!$C$3&lt;='Member end forces'!$F$20-'Member end forces'!$I$20/2,0,IF(K21*'Member end forces'!$C$3&lt;='Member end forces'!$F$20+'Member end forces'!$I$20/2,-'Member end forces'!$C$20/2*(K21*'Member end forces'!$C$3-'Member end forces'!$F$20+'Member end forces'!$I$20/2)^2,-'Member end forces'!$C$20*'Member end forces'!$I$20*(K21*'Member end forces'!$C$3-'Member end forces'!$F$20)))</f>
        <v>-23.999999999999993</v>
      </c>
      <c r="R21" s="33">
        <f t="shared" si="4"/>
        <v>46.7168851655751</v>
      </c>
      <c r="S21" s="33">
        <f t="shared" si="5"/>
        <v>-46.7168851655751</v>
      </c>
      <c r="U21" s="37">
        <v>0.85</v>
      </c>
      <c r="V21" s="33">
        <f>-'Member end forces'!$AP$14</f>
        <v>0</v>
      </c>
      <c r="W21" s="33">
        <f>IF(U21*'Member end forces'!$C$4&lt;='Member end forces'!$F$26,IF($U$1&lt;3,-1,1)*'Member end forces'!$AN$14,IF($U$1&lt;3,-1,1)*'Member end forces'!$AN$14-'Member end forces'!$C$26)</f>
        <v>-2</v>
      </c>
      <c r="X21" s="33">
        <f>IF(U21*'Member end forces'!$C$4&lt;='Member end forces'!$F$21-'Member end forces'!$I$21/2,0,IF(U21*'Member end forces'!$C$4&lt;='Member end forces'!$F$21+'Member end forces'!$I$21/2,-'Member end forces'!$C$21*(U21*'Member end forces'!$C$4-'Member end forces'!$F$21+'Member end forces'!$I$21/2),-'Member end forces'!$C$21*'Member end forces'!$I$21))</f>
        <v>-3.5</v>
      </c>
      <c r="Y21" s="33">
        <f t="shared" si="6"/>
        <v>-5.5</v>
      </c>
      <c r="Z21" s="33">
        <f>IF(U21*'Member end forces'!$C$4&lt;='Member end forces'!$F$26,-'Member end forces'!$AL$14+IF($U$1&lt;3,-1,1)*'Member end forces'!$AN$14*U21*'Member end forces'!$C$4,-'Member end forces'!$AL$14+IF($U$1&lt;3,-1,1)*'Member end forces'!$AN$14*U21*'Member end forces'!$C$4-'Member end forces'!$C$26*(U21*'Member end forces'!$C$4-'Member end forces'!$F$26))</f>
        <v>-3.4</v>
      </c>
      <c r="AA21" s="33">
        <f>IF(U21*'Member end forces'!$C$4&lt;='Member end forces'!$F$21-'Member end forces'!$I$21/2,0,IF(U21*'Member end forces'!$C$4&lt;='Member end forces'!$F$21+'Member end forces'!$I$21/2,-'Member end forces'!$C$21/2*(U21*'Member end forces'!$C$4-'Member end forces'!$F$21+'Member end forces'!$I$21/2)^2,-'Member end forces'!$C$21*'Member end forces'!$I$21*(U21*'Member end forces'!$C$4-'Member end forces'!$F$21)))</f>
        <v>-1.2249999999999999</v>
      </c>
      <c r="AB21" s="33">
        <f t="shared" si="7"/>
        <v>-4.625</v>
      </c>
      <c r="AC21" s="33">
        <f t="shared" si="8"/>
        <v>4.625</v>
      </c>
      <c r="AE21" s="37">
        <v>0.85</v>
      </c>
      <c r="AF21" s="33">
        <f>-'Member end forces'!$AP$15</f>
        <v>-34.054792299281814</v>
      </c>
      <c r="AG21" s="33">
        <f>IF(AE21*'Member end forces'!$C$5&lt;='Member end forces'!$F$27,IF($AE$1&lt;3,-1,1)*'Member end forces'!$AN$15,IF($AE$1&lt;3,-1,1)*'Member end forces'!$AN$15-'Member end forces'!$C$27)</f>
        <v>3.0798846459072848</v>
      </c>
      <c r="AH21" s="33">
        <f>IF(AE21*'Member end forces'!$C$5&lt;='Member end forces'!$F$22-'Member end forces'!$I$22/2,0,IF(AE21*'Member end forces'!$C$5&lt;='Member end forces'!$F$22+'Member end forces'!$I$22/2,-'Member end forces'!$C$22*(AE21*'Member end forces'!$C$5-'Member end forces'!$F$22+'Member end forces'!$I$22/2),-'Member end forces'!$C$22*'Member end forces'!$I$22))</f>
        <v>-45</v>
      </c>
      <c r="AI21" s="33">
        <f t="shared" si="9"/>
        <v>-41.920115354092715</v>
      </c>
      <c r="AJ21" s="33">
        <f>IF(AE21*'Member end forces'!$C$5&lt;='Member end forces'!$F$27,-'Member end forces'!$AL$15+IF($AE$1&lt;3,-1,1)*'Member end forces'!$AN$15*AE21*'Member end forces'!$C$5,-'Member end forces'!$AL$15+IF($AE$1&lt;3,-1,1)*'Member end forces'!$AN$15*AE21*'Member end forces'!$C$5-'Member end forces'!$C$27*(AE21*'Member end forces'!$C$5-'Member end forces'!$F$27))</f>
        <v>31.898544815317649</v>
      </c>
      <c r="AK21" s="33">
        <f>IF(AE21*'Member end forces'!$C$5&lt;='Member end forces'!$F$22-'Member end forces'!$I$22/2,0,IF(AE21*'Member end forces'!$C$5&lt;='Member end forces'!$F$22+'Member end forces'!$I$22/2,-'Member end forces'!$C$22/2*(AE21*'Member end forces'!$C$5-'Member end forces'!$F$22+'Member end forces'!$I$22/2)^2,-'Member end forces'!$C$22*'Member end forces'!$I$22*(AE21*'Member end forces'!$C$5-'Member end forces'!$F$22)))</f>
        <v>-78.75</v>
      </c>
      <c r="AL21" s="33">
        <f t="shared" si="10"/>
        <v>-46.851455184682351</v>
      </c>
      <c r="AM21" s="33">
        <f t="shared" si="11"/>
        <v>46.851455184682351</v>
      </c>
      <c r="AO21" s="37">
        <v>0.85</v>
      </c>
      <c r="AP21" s="33">
        <f>-'Member end forces'!$AP$16</f>
        <v>0</v>
      </c>
      <c r="AQ21" s="33">
        <f>IF(AO21*'Member end forces'!$C$6&lt;='Member end forces'!$F$28,IF($AO$1&lt;3,-1,1)*'Member end forces'!$AN$16,IF($AO$1&lt;3,-1,1)*'Member end forces'!$AN$16-'Member end forces'!$C$28)</f>
        <v>5</v>
      </c>
      <c r="AR21" s="33">
        <f>IF(AO21*'Member end forces'!$C$6&lt;='Member end forces'!$F$23-'Member end forces'!$I$23/2,0,IF(AO21*'Member end forces'!$C$6&lt;='Member end forces'!$F$23+'Member end forces'!$I$23/2,-'Member end forces'!$C$23*(AO21*'Member end forces'!$C$6-'Member end forces'!$F$23+'Member end forces'!$I$23/2),-'Member end forces'!$C$23*'Member end forces'!$I$23))</f>
        <v>-1.9999999999999996</v>
      </c>
      <c r="AS21" s="33">
        <f t="shared" si="12"/>
        <v>3.0000000000000004</v>
      </c>
      <c r="AT21" s="33">
        <f>IF(AO21*'Member end forces'!$C$6&lt;='Member end forces'!$F$28,-'Member end forces'!$AL$16+IF($AO$1&lt;3,-1,1)*'Member end forces'!$AN$16*AO21*'Member end forces'!$C$6,-'Member end forces'!$AL$16+IF($AO$1&lt;3,-1,1)*'Member end forces'!$AN$16*AO21*'Member end forces'!$C$6-'Member end forces'!$C$28*(AO21*'Member end forces'!$C$6-'Member end forces'!$F$28))</f>
        <v>-0.25</v>
      </c>
      <c r="AU21" s="33">
        <f>IF(AO21*'Member end forces'!$C$6&lt;='Member end forces'!$F$23-'Member end forces'!$I$23/2,0,IF(AO21*'Member end forces'!$C$6&lt;='Member end forces'!$F$23+'Member end forces'!$I$23/2,-'Member end forces'!$C$23/2*(AO21*'Member end forces'!$C$6-'Member end forces'!$F$23+'Member end forces'!$I$23/2)^2,-'Member end forces'!$C$23*'Member end forces'!$I$23*(AO21*'Member end forces'!$C$6-'Member end forces'!$F$23)))</f>
        <v>-0.1999999999999999</v>
      </c>
      <c r="AV21" s="33">
        <f t="shared" si="13"/>
        <v>-0.4499999999999999</v>
      </c>
      <c r="AW21" s="33">
        <f t="shared" si="14"/>
        <v>0.4499999999999999</v>
      </c>
    </row>
    <row r="22" spans="1:49" ht="15.75" customHeight="1" x14ac:dyDescent="0.25">
      <c r="A22" s="37">
        <v>0.9</v>
      </c>
      <c r="B22" s="33">
        <f>-'Member end forces'!$AP$12</f>
        <v>-30.079884645907285</v>
      </c>
      <c r="C22" s="33">
        <f>IF(A22*'Member end forces'!$C$2&lt;='Member end forces'!$F$24,IF($A$1&lt;3,-1,1)*'Member end forces'!$AN$12,IF($A$1&lt;3,-1,1)*'Member end forces'!$AN$12-'Member end forces'!$C$24)</f>
        <v>25.945207700718186</v>
      </c>
      <c r="D22" s="33">
        <f>IF(A22*'Member end forces'!$C$2&lt;='Member end forces'!$F$19-'Member end forces'!$I$19/2,0,IF(A22*'Member end forces'!$C$2&lt;='Member end forces'!$F$19+'Member end forces'!$I$19/2,-'Member end forces'!$C$19*(A22*'Member end forces'!$C$2-'Member end forces'!$F$19+'Member end forces'!$I$19/2),-'Member end forces'!$C$19*'Member end forces'!$I$19))</f>
        <v>-52</v>
      </c>
      <c r="E22" s="33">
        <f t="shared" si="0"/>
        <v>-26.054792299281814</v>
      </c>
      <c r="F22" s="33">
        <f>IF(A22*'Member end forces'!$C$2&lt;='Member end forces'!$F$24,-'Member end forces'!$AL$12+IF($A$1&lt;3,-1,1)*'Member end forces'!$AN$12*A22*'Member end forces'!$C$2,-'Member end forces'!$AL$12+IF($A$1&lt;3,-1,1)*'Member end forces'!$AN$12*A22*'Member end forces'!$C$2-'Member end forces'!$C$24*(A22*'Member end forces'!$C$2-'Member end forces'!$F$24))</f>
        <v>74.930951989924409</v>
      </c>
      <c r="G22" s="33">
        <f>IF(A22*'Member end forces'!$C$2&lt;='Member end forces'!$F$19-'Member end forces'!$I$19/2,0,IF(A22*'Member end forces'!$C$2&lt;='Member end forces'!$F$19+'Member end forces'!$I$19/2,-'Member end forces'!$C$19/2*(A22*'Member end forces'!$C$2-'Member end forces'!$F$19+'Member end forces'!$I$19/2)^2,-'Member end forces'!$C$19*'Member end forces'!$I$19*(A22*'Member end forces'!$C$2-'Member end forces'!$F$19)))</f>
        <v>-67.600000000000009</v>
      </c>
      <c r="H22" s="33">
        <f t="shared" si="1"/>
        <v>7.3309519899244009</v>
      </c>
      <c r="I22" s="33">
        <f t="shared" si="2"/>
        <v>-7.3309519899244009</v>
      </c>
      <c r="K22" s="37">
        <v>0.9</v>
      </c>
      <c r="L22" s="33">
        <f>-'Member end forces'!$AP$13</f>
        <v>-61.920115354092715</v>
      </c>
      <c r="M22" s="33">
        <f>IF(K22*'Member end forces'!$C$3&lt;='Member end forces'!$F$25,IF($K$1&lt;3,-1,1)*'Member end forces'!$AN$13,IF($K$1&lt;3,-1,1)*'Member end forces'!$AN$13-'Member end forces'!$C$25)</f>
        <v>64.054792299281814</v>
      </c>
      <c r="N22" s="33">
        <f>IF(K22*'Member end forces'!$C$3&lt;='Member end forces'!$F$20-'Member end forces'!$I$20/2,0,IF(K22*'Member end forces'!$C$3&lt;='Member end forces'!$F$20+'Member end forces'!$I$20/2,-'Member end forces'!$C$20*(K22*'Member end forces'!$C$3-'Member end forces'!$F$20+'Member end forces'!$I$20/2),-'Member end forces'!$C$20*'Member end forces'!$I$20))</f>
        <v>-30</v>
      </c>
      <c r="O22" s="33">
        <f t="shared" si="3"/>
        <v>34.054792299281814</v>
      </c>
      <c r="P22" s="33">
        <f>IF(K22*'Member end forces'!$C$3&lt;='Member end forces'!$F$25,-'Member end forces'!$AL$13+IF($K$1&lt;3,-1,1)*'Member end forces'!$AN$13*K22*'Member end forces'!$C$3,-'Member end forces'!$AL$13+IF($K$1&lt;3,-1,1)*'Member end forces'!$AN$13*K22*'Member end forces'!$C$3-'Member end forces'!$C$25*(K22*'Member end forces'!$C$3-'Member end forces'!$F$25))</f>
        <v>80.325104010467385</v>
      </c>
      <c r="Q22" s="33">
        <f>IF(K22*'Member end forces'!$C$3&lt;='Member end forces'!$F$20-'Member end forces'!$I$20/2,0,IF(K22*'Member end forces'!$C$3&lt;='Member end forces'!$F$20+'Member end forces'!$I$20/2,-'Member end forces'!$C$20/2*(K22*'Member end forces'!$C$3-'Member end forces'!$F$20+'Member end forces'!$I$20/2)^2,-'Member end forces'!$C$20*'Member end forces'!$I$20*(K22*'Member end forces'!$C$3-'Member end forces'!$F$20)))</f>
        <v>-28.500000000000007</v>
      </c>
      <c r="R22" s="33">
        <f t="shared" si="4"/>
        <v>51.825104010467378</v>
      </c>
      <c r="S22" s="33">
        <f t="shared" si="5"/>
        <v>-51.825104010467378</v>
      </c>
      <c r="U22" s="37">
        <v>0.9</v>
      </c>
      <c r="V22" s="33">
        <f>-'Member end forces'!$AP$14</f>
        <v>0</v>
      </c>
      <c r="W22" s="33">
        <f>IF(U22*'Member end forces'!$C$4&lt;='Member end forces'!$F$26,IF($U$1&lt;3,-1,1)*'Member end forces'!$AN$14,IF($U$1&lt;3,-1,1)*'Member end forces'!$AN$14-'Member end forces'!$C$26)</f>
        <v>-2</v>
      </c>
      <c r="X22" s="33">
        <f>IF(U22*'Member end forces'!$C$4&lt;='Member end forces'!$F$21-'Member end forces'!$I$21/2,0,IF(U22*'Member end forces'!$C$4&lt;='Member end forces'!$F$21+'Member end forces'!$I$21/2,-'Member end forces'!$C$21*(U22*'Member end forces'!$C$4-'Member end forces'!$F$21+'Member end forces'!$I$21/2),-'Member end forces'!$C$21*'Member end forces'!$I$21))</f>
        <v>-4</v>
      </c>
      <c r="Y22" s="33">
        <f t="shared" si="6"/>
        <v>-6</v>
      </c>
      <c r="Z22" s="33">
        <f>IF(U22*'Member end forces'!$C$4&lt;='Member end forces'!$F$26,-'Member end forces'!$AL$14+IF($U$1&lt;3,-1,1)*'Member end forces'!$AN$14*U22*'Member end forces'!$C$4,-'Member end forces'!$AL$14+IF($U$1&lt;3,-1,1)*'Member end forces'!$AN$14*U22*'Member end forces'!$C$4-'Member end forces'!$C$26*(U22*'Member end forces'!$C$4-'Member end forces'!$F$26))</f>
        <v>-3.6</v>
      </c>
      <c r="AA22" s="33">
        <f>IF(U22*'Member end forces'!$C$4&lt;='Member end forces'!$F$21-'Member end forces'!$I$21/2,0,IF(U22*'Member end forces'!$C$4&lt;='Member end forces'!$F$21+'Member end forces'!$I$21/2,-'Member end forces'!$C$21/2*(U22*'Member end forces'!$C$4-'Member end forces'!$F$21+'Member end forces'!$I$21/2)^2,-'Member end forces'!$C$21*'Member end forces'!$I$21*(U22*'Member end forces'!$C$4-'Member end forces'!$F$21)))</f>
        <v>-1.6000000000000003</v>
      </c>
      <c r="AB22" s="33">
        <f t="shared" si="7"/>
        <v>-5.2</v>
      </c>
      <c r="AC22" s="33">
        <f t="shared" si="8"/>
        <v>5.2</v>
      </c>
      <c r="AE22" s="37">
        <v>0.9</v>
      </c>
      <c r="AF22" s="33">
        <f>-'Member end forces'!$AP$15</f>
        <v>-34.054792299281814</v>
      </c>
      <c r="AG22" s="33">
        <f>IF(AE22*'Member end forces'!$C$5&lt;='Member end forces'!$F$27,IF($AE$1&lt;3,-1,1)*'Member end forces'!$AN$15,IF($AE$1&lt;3,-1,1)*'Member end forces'!$AN$15-'Member end forces'!$C$27)</f>
        <v>3.0798846459072848</v>
      </c>
      <c r="AH22" s="33">
        <f>IF(AE22*'Member end forces'!$C$5&lt;='Member end forces'!$F$22-'Member end forces'!$I$22/2,0,IF(AE22*'Member end forces'!$C$5&lt;='Member end forces'!$F$22+'Member end forces'!$I$22/2,-'Member end forces'!$C$22*(AE22*'Member end forces'!$C$5-'Member end forces'!$F$22+'Member end forces'!$I$22/2),-'Member end forces'!$C$22*'Member end forces'!$I$22))</f>
        <v>-45</v>
      </c>
      <c r="AI22" s="33">
        <f t="shared" si="9"/>
        <v>-41.920115354092715</v>
      </c>
      <c r="AJ22" s="33">
        <f>IF(AE22*'Member end forces'!$C$5&lt;='Member end forces'!$F$27,-'Member end forces'!$AL$15+IF($AE$1&lt;3,-1,1)*'Member end forces'!$AN$15*AE22*'Member end forces'!$C$5,-'Member end forces'!$AL$15+IF($AE$1&lt;3,-1,1)*'Member end forces'!$AN$15*AE22*'Member end forces'!$C$5-'Member end forces'!$C$27*(AE22*'Member end forces'!$C$5-'Member end forces'!$F$27))</f>
        <v>32.668515976794467</v>
      </c>
      <c r="AK22" s="33">
        <f>IF(AE22*'Member end forces'!$C$5&lt;='Member end forces'!$F$22-'Member end forces'!$I$22/2,0,IF(AE22*'Member end forces'!$C$5&lt;='Member end forces'!$F$22+'Member end forces'!$I$22/2,-'Member end forces'!$C$22/2*(AE22*'Member end forces'!$C$5-'Member end forces'!$F$22+'Member end forces'!$I$22/2)^2,-'Member end forces'!$C$22*'Member end forces'!$I$22*(AE22*'Member end forces'!$C$5-'Member end forces'!$F$22)))</f>
        <v>-90</v>
      </c>
      <c r="AL22" s="33">
        <f t="shared" si="10"/>
        <v>-57.331484023205533</v>
      </c>
      <c r="AM22" s="33">
        <f t="shared" si="11"/>
        <v>57.331484023205533</v>
      </c>
      <c r="AO22" s="37">
        <v>0.9</v>
      </c>
      <c r="AP22" s="33">
        <f>-'Member end forces'!$AP$16</f>
        <v>0</v>
      </c>
      <c r="AQ22" s="33">
        <f>IF(AO22*'Member end forces'!$C$6&lt;='Member end forces'!$F$28,IF($AO$1&lt;3,-1,1)*'Member end forces'!$AN$16,IF($AO$1&lt;3,-1,1)*'Member end forces'!$AN$16-'Member end forces'!$C$28)</f>
        <v>5</v>
      </c>
      <c r="AR22" s="33">
        <f>IF(AO22*'Member end forces'!$C$6&lt;='Member end forces'!$F$23-'Member end forces'!$I$23/2,0,IF(AO22*'Member end forces'!$C$6&lt;='Member end forces'!$F$23+'Member end forces'!$I$23/2,-'Member end forces'!$C$23*(AO22*'Member end forces'!$C$6-'Member end forces'!$F$23+'Member end forces'!$I$23/2),-'Member end forces'!$C$23*'Member end forces'!$I$23))</f>
        <v>-3.0000000000000004</v>
      </c>
      <c r="AS22" s="33">
        <f t="shared" si="12"/>
        <v>1.9999999999999996</v>
      </c>
      <c r="AT22" s="33">
        <f>IF(AO22*'Member end forces'!$C$6&lt;='Member end forces'!$F$28,-'Member end forces'!$AL$16+IF($AO$1&lt;3,-1,1)*'Member end forces'!$AN$16*AO22*'Member end forces'!$C$6,-'Member end forces'!$AL$16+IF($AO$1&lt;3,-1,1)*'Member end forces'!$AN$16*AO22*'Member end forces'!$C$6-'Member end forces'!$C$28*(AO22*'Member end forces'!$C$6-'Member end forces'!$F$28))</f>
        <v>0.25</v>
      </c>
      <c r="AU22" s="33">
        <f>IF(AO22*'Member end forces'!$C$6&lt;='Member end forces'!$F$23-'Member end forces'!$I$23/2,0,IF(AO22*'Member end forces'!$C$6&lt;='Member end forces'!$F$23+'Member end forces'!$I$23/2,-'Member end forces'!$C$23/2*(AO22*'Member end forces'!$C$6-'Member end forces'!$F$23+'Member end forces'!$I$23/2)^2,-'Member end forces'!$C$23*'Member end forces'!$I$23*(AO22*'Member end forces'!$C$6-'Member end forces'!$F$23)))</f>
        <v>-0.45000000000000012</v>
      </c>
      <c r="AV22" s="33">
        <f t="shared" si="13"/>
        <v>-0.20000000000000012</v>
      </c>
      <c r="AW22" s="33">
        <f t="shared" si="14"/>
        <v>0.20000000000000012</v>
      </c>
    </row>
    <row r="23" spans="1:49" ht="15.75" customHeight="1" x14ac:dyDescent="0.25">
      <c r="A23" s="37">
        <v>0.95</v>
      </c>
      <c r="B23" s="33">
        <f>-'Member end forces'!$AP$12</f>
        <v>-30.079884645907285</v>
      </c>
      <c r="C23" s="33">
        <f>IF(A23*'Member end forces'!$C$2&lt;='Member end forces'!$F$24,IF($A$1&lt;3,-1,1)*'Member end forces'!$AN$12,IF($A$1&lt;3,-1,1)*'Member end forces'!$AN$12-'Member end forces'!$C$24)</f>
        <v>25.945207700718186</v>
      </c>
      <c r="D23" s="33">
        <f>IF(A23*'Member end forces'!$C$2&lt;='Member end forces'!$F$19-'Member end forces'!$I$19/2,0,IF(A23*'Member end forces'!$C$2&lt;='Member end forces'!$F$19+'Member end forces'!$I$19/2,-'Member end forces'!$C$19*(A23*'Member end forces'!$C$2-'Member end forces'!$F$19+'Member end forces'!$I$19/2),-'Member end forces'!$C$19*'Member end forces'!$I$19))</f>
        <v>-56</v>
      </c>
      <c r="E23" s="33">
        <f t="shared" si="0"/>
        <v>-30.054792299281814</v>
      </c>
      <c r="F23" s="33">
        <f>IF(A23*'Member end forces'!$C$2&lt;='Member end forces'!$F$24,-'Member end forces'!$AL$12+IF($A$1&lt;3,-1,1)*'Member end forces'!$AN$12*A23*'Member end forces'!$C$2,-'Member end forces'!$AL$12+IF($A$1&lt;3,-1,1)*'Member end forces'!$AN$12*A23*'Member end forces'!$C$2-'Member end forces'!$C$24*(A23*'Member end forces'!$C$2-'Member end forces'!$F$24))</f>
        <v>80.119993530068029</v>
      </c>
      <c r="G23" s="33">
        <f>IF(A23*'Member end forces'!$C$2&lt;='Member end forces'!$F$19-'Member end forces'!$I$19/2,0,IF(A23*'Member end forces'!$C$2&lt;='Member end forces'!$F$19+'Member end forces'!$I$19/2,-'Member end forces'!$C$19/2*(A23*'Member end forces'!$C$2-'Member end forces'!$F$19+'Member end forces'!$I$19/2)^2,-'Member end forces'!$C$19*'Member end forces'!$I$19*(A23*'Member end forces'!$C$2-'Member end forces'!$F$19)))</f>
        <v>-78.399999999999991</v>
      </c>
      <c r="H23" s="33">
        <f t="shared" si="1"/>
        <v>1.719993530068038</v>
      </c>
      <c r="I23" s="33">
        <f t="shared" si="2"/>
        <v>-1.719993530068038</v>
      </c>
      <c r="K23" s="37">
        <v>0.95</v>
      </c>
      <c r="L23" s="33">
        <f>-'Member end forces'!$AP$13</f>
        <v>-61.920115354092715</v>
      </c>
      <c r="M23" s="33">
        <f>IF(K23*'Member end forces'!$C$3&lt;='Member end forces'!$F$25,IF($K$1&lt;3,-1,1)*'Member end forces'!$AN$13,IF($K$1&lt;3,-1,1)*'Member end forces'!$AN$13-'Member end forces'!$C$25)</f>
        <v>64.054792299281814</v>
      </c>
      <c r="N23" s="33">
        <f>IF(K23*'Member end forces'!$C$3&lt;='Member end forces'!$F$20-'Member end forces'!$I$20/2,0,IF(K23*'Member end forces'!$C$3&lt;='Member end forces'!$F$20+'Member end forces'!$I$20/2,-'Member end forces'!$C$20*(K23*'Member end forces'!$C$3-'Member end forces'!$F$20+'Member end forces'!$I$20/2),-'Member end forces'!$C$20*'Member end forces'!$I$20))</f>
        <v>-30</v>
      </c>
      <c r="O23" s="33">
        <f t="shared" si="3"/>
        <v>34.054792299281814</v>
      </c>
      <c r="P23" s="33">
        <f>IF(K23*'Member end forces'!$C$3&lt;='Member end forces'!$F$25,-'Member end forces'!$AL$13+IF($K$1&lt;3,-1,1)*'Member end forces'!$AN$13*K23*'Member end forces'!$C$3,-'Member end forces'!$AL$13+IF($K$1&lt;3,-1,1)*'Member end forces'!$AN$13*K23*'Member end forces'!$C$3-'Member end forces'!$C$25*(K23*'Member end forces'!$C$3-'Member end forces'!$F$25))</f>
        <v>89.933322855359634</v>
      </c>
      <c r="Q23" s="33">
        <f>IF(K23*'Member end forces'!$C$3&lt;='Member end forces'!$F$20-'Member end forces'!$I$20/2,0,IF(K23*'Member end forces'!$C$3&lt;='Member end forces'!$F$20+'Member end forces'!$I$20/2,-'Member end forces'!$C$20/2*(K23*'Member end forces'!$C$3-'Member end forces'!$F$20+'Member end forces'!$I$20/2)^2,-'Member end forces'!$C$20*'Member end forces'!$I$20*(K23*'Member end forces'!$C$3-'Member end forces'!$F$20)))</f>
        <v>-32.999999999999986</v>
      </c>
      <c r="R23" s="33">
        <f t="shared" si="4"/>
        <v>56.933322855359648</v>
      </c>
      <c r="S23" s="33">
        <f t="shared" si="5"/>
        <v>-56.933322855359648</v>
      </c>
      <c r="U23" s="37">
        <v>0.95</v>
      </c>
      <c r="V23" s="33">
        <f>-'Member end forces'!$AP$14</f>
        <v>0</v>
      </c>
      <c r="W23" s="33">
        <f>IF(U23*'Member end forces'!$C$4&lt;='Member end forces'!$F$26,IF($U$1&lt;3,-1,1)*'Member end forces'!$AN$14,IF($U$1&lt;3,-1,1)*'Member end forces'!$AN$14-'Member end forces'!$C$26)</f>
        <v>-2</v>
      </c>
      <c r="X23" s="33">
        <f>IF(U23*'Member end forces'!$C$4&lt;='Member end forces'!$F$21-'Member end forces'!$I$21/2,0,IF(U23*'Member end forces'!$C$4&lt;='Member end forces'!$F$21+'Member end forces'!$I$21/2,-'Member end forces'!$C$21*(U23*'Member end forces'!$C$4-'Member end forces'!$F$21+'Member end forces'!$I$21/2),-'Member end forces'!$C$21*'Member end forces'!$I$21))</f>
        <v>-4.5</v>
      </c>
      <c r="Y23" s="33">
        <f t="shared" si="6"/>
        <v>-6.5</v>
      </c>
      <c r="Z23" s="33">
        <f>IF(U23*'Member end forces'!$C$4&lt;='Member end forces'!$F$26,-'Member end forces'!$AL$14+IF($U$1&lt;3,-1,1)*'Member end forces'!$AN$14*U23*'Member end forces'!$C$4,-'Member end forces'!$AL$14+IF($U$1&lt;3,-1,1)*'Member end forces'!$AN$14*U23*'Member end forces'!$C$4-'Member end forces'!$C$26*(U23*'Member end forces'!$C$4-'Member end forces'!$F$26))</f>
        <v>-3.8</v>
      </c>
      <c r="AA23" s="33">
        <f>IF(U23*'Member end forces'!$C$4&lt;='Member end forces'!$F$21-'Member end forces'!$I$21/2,0,IF(U23*'Member end forces'!$C$4&lt;='Member end forces'!$F$21+'Member end forces'!$I$21/2,-'Member end forces'!$C$21/2*(U23*'Member end forces'!$C$4-'Member end forces'!$F$21+'Member end forces'!$I$21/2)^2,-'Member end forces'!$C$21*'Member end forces'!$I$21*(U23*'Member end forces'!$C$4-'Member end forces'!$F$21)))</f>
        <v>-2.0249999999999995</v>
      </c>
      <c r="AB23" s="33">
        <f t="shared" si="7"/>
        <v>-5.8249999999999993</v>
      </c>
      <c r="AC23" s="33">
        <f t="shared" si="8"/>
        <v>5.8249999999999993</v>
      </c>
      <c r="AE23" s="37">
        <v>0.95</v>
      </c>
      <c r="AF23" s="33">
        <f>-'Member end forces'!$AP$15</f>
        <v>-34.054792299281814</v>
      </c>
      <c r="AG23" s="33">
        <f>IF(AE23*'Member end forces'!$C$5&lt;='Member end forces'!$F$27,IF($AE$1&lt;3,-1,1)*'Member end forces'!$AN$15,IF($AE$1&lt;3,-1,1)*'Member end forces'!$AN$15-'Member end forces'!$C$27)</f>
        <v>3.0798846459072848</v>
      </c>
      <c r="AH23" s="33">
        <f>IF(AE23*'Member end forces'!$C$5&lt;='Member end forces'!$F$22-'Member end forces'!$I$22/2,0,IF(AE23*'Member end forces'!$C$5&lt;='Member end forces'!$F$22+'Member end forces'!$I$22/2,-'Member end forces'!$C$22*(AE23*'Member end forces'!$C$5-'Member end forces'!$F$22+'Member end forces'!$I$22/2),-'Member end forces'!$C$22*'Member end forces'!$I$22))</f>
        <v>-45</v>
      </c>
      <c r="AI23" s="33">
        <f t="shared" si="9"/>
        <v>-41.920115354092715</v>
      </c>
      <c r="AJ23" s="33">
        <f>IF(AE23*'Member end forces'!$C$5&lt;='Member end forces'!$F$27,-'Member end forces'!$AL$15+IF($AE$1&lt;3,-1,1)*'Member end forces'!$AN$15*AE23*'Member end forces'!$C$5,-'Member end forces'!$AL$15+IF($AE$1&lt;3,-1,1)*'Member end forces'!$AN$15*AE23*'Member end forces'!$C$5-'Member end forces'!$C$27*(AE23*'Member end forces'!$C$5-'Member end forces'!$F$27))</f>
        <v>33.438487138271299</v>
      </c>
      <c r="AK23" s="33">
        <f>IF(AE23*'Member end forces'!$C$5&lt;='Member end forces'!$F$22-'Member end forces'!$I$22/2,0,IF(AE23*'Member end forces'!$C$5&lt;='Member end forces'!$F$22+'Member end forces'!$I$22/2,-'Member end forces'!$C$22/2*(AE23*'Member end forces'!$C$5-'Member end forces'!$F$22+'Member end forces'!$I$22/2)^2,-'Member end forces'!$C$22*'Member end forces'!$I$22*(AE23*'Member end forces'!$C$5-'Member end forces'!$F$22)))</f>
        <v>-101.25</v>
      </c>
      <c r="AL23" s="33">
        <f t="shared" si="10"/>
        <v>-67.811512861728701</v>
      </c>
      <c r="AM23" s="33">
        <f t="shared" si="11"/>
        <v>67.811512861728701</v>
      </c>
      <c r="AO23" s="37">
        <v>0.95</v>
      </c>
      <c r="AP23" s="33">
        <f>-'Member end forces'!$AP$16</f>
        <v>0</v>
      </c>
      <c r="AQ23" s="33">
        <f>IF(AO23*'Member end forces'!$C$6&lt;='Member end forces'!$F$28,IF($AO$1&lt;3,-1,1)*'Member end forces'!$AN$16,IF($AO$1&lt;3,-1,1)*'Member end forces'!$AN$16-'Member end forces'!$C$28)</f>
        <v>5</v>
      </c>
      <c r="AR23" s="33">
        <f>IF(AO23*'Member end forces'!$C$6&lt;='Member end forces'!$F$23-'Member end forces'!$I$23/2,0,IF(AO23*'Member end forces'!$C$6&lt;='Member end forces'!$F$23+'Member end forces'!$I$23/2,-'Member end forces'!$C$23*(AO23*'Member end forces'!$C$6-'Member end forces'!$F$23+'Member end forces'!$I$23/2),-'Member end forces'!$C$23*'Member end forces'!$I$23))</f>
        <v>-3.9999999999999991</v>
      </c>
      <c r="AS23" s="33">
        <f t="shared" si="12"/>
        <v>1.0000000000000009</v>
      </c>
      <c r="AT23" s="33">
        <f>IF(AO23*'Member end forces'!$C$6&lt;='Member end forces'!$F$28,-'Member end forces'!$AL$16+IF($AO$1&lt;3,-1,1)*'Member end forces'!$AN$16*AO23*'Member end forces'!$C$6,-'Member end forces'!$AL$16+IF($AO$1&lt;3,-1,1)*'Member end forces'!$AN$16*AO23*'Member end forces'!$C$6-'Member end forces'!$C$28*(AO23*'Member end forces'!$C$6-'Member end forces'!$F$28))</f>
        <v>0.75</v>
      </c>
      <c r="AU23" s="33">
        <f>IF(AO23*'Member end forces'!$C$6&lt;='Member end forces'!$F$23-'Member end forces'!$I$23/2,0,IF(AO23*'Member end forces'!$C$6&lt;='Member end forces'!$F$23+'Member end forces'!$I$23/2,-'Member end forces'!$C$23/2*(AO23*'Member end forces'!$C$6-'Member end forces'!$F$23+'Member end forces'!$I$23/2)^2,-'Member end forces'!$C$23*'Member end forces'!$I$23*(AO23*'Member end forces'!$C$6-'Member end forces'!$F$23)))</f>
        <v>-0.7999999999999996</v>
      </c>
      <c r="AV23" s="33">
        <f t="shared" si="13"/>
        <v>-4.99999999999996E-2</v>
      </c>
      <c r="AW23" s="33">
        <f t="shared" si="14"/>
        <v>4.99999999999996E-2</v>
      </c>
    </row>
    <row r="24" spans="1:49" ht="15.75" customHeight="1" x14ac:dyDescent="0.25">
      <c r="A24" s="37">
        <v>1</v>
      </c>
      <c r="B24" s="33">
        <f>-'Member end forces'!$AP$12</f>
        <v>-30.079884645907285</v>
      </c>
      <c r="C24" s="33">
        <f>IF(A24*'Member end forces'!$C$2&lt;='Member end forces'!$F$24,IF($A$1&lt;3,-1,1)*'Member end forces'!$AN$12,IF($A$1&lt;3,-1,1)*'Member end forces'!$AN$12-'Member end forces'!$C$24)</f>
        <v>25.945207700718186</v>
      </c>
      <c r="D24" s="33">
        <f>IF(A24*'Member end forces'!$C$2&lt;='Member end forces'!$F$19-'Member end forces'!$I$19/2,0,IF(A24*'Member end forces'!$C$2&lt;='Member end forces'!$F$19+'Member end forces'!$I$19/2,-'Member end forces'!$C$19*(A24*'Member end forces'!$C$2-'Member end forces'!$F$19+'Member end forces'!$I$19/2),-'Member end forces'!$C$19*'Member end forces'!$I$19))</f>
        <v>-60</v>
      </c>
      <c r="E24" s="33">
        <f t="shared" si="0"/>
        <v>-34.054792299281814</v>
      </c>
      <c r="F24" s="33">
        <f>IF(A24*'Member end forces'!$C$2&lt;='Member end forces'!$F$24,-'Member end forces'!$AL$12+IF($A$1&lt;3,-1,1)*'Member end forces'!$AN$12*A24*'Member end forces'!$C$2,-'Member end forces'!$AL$12+IF($A$1&lt;3,-1,1)*'Member end forces'!$AN$12*A24*'Member end forces'!$C$2-'Member end forces'!$C$24*(A24*'Member end forces'!$C$2-'Member end forces'!$F$24))</f>
        <v>85.309035070211678</v>
      </c>
      <c r="G24" s="33">
        <f>IF(A24*'Member end forces'!$C$2&lt;='Member end forces'!$F$19-'Member end forces'!$I$19/2,0,IF(A24*'Member end forces'!$C$2&lt;='Member end forces'!$F$19+'Member end forces'!$I$19/2,-'Member end forces'!$C$19/2*(A24*'Member end forces'!$C$2-'Member end forces'!$F$19+'Member end forces'!$I$19/2)^2,-'Member end forces'!$C$19*'Member end forces'!$I$19*(A24*'Member end forces'!$C$2-'Member end forces'!$F$19)))</f>
        <v>-90</v>
      </c>
      <c r="H24" s="33">
        <f t="shared" si="1"/>
        <v>-4.690964929788322</v>
      </c>
      <c r="I24" s="33">
        <f t="shared" si="2"/>
        <v>4.690964929788322</v>
      </c>
      <c r="K24" s="37">
        <v>1</v>
      </c>
      <c r="L24" s="33">
        <f>-'Member end forces'!$AP$13</f>
        <v>-61.920115354092715</v>
      </c>
      <c r="M24" s="33">
        <f>IF(K24*'Member end forces'!$C$3&lt;='Member end forces'!$F$25,IF($K$1&lt;3,-1,1)*'Member end forces'!$AN$13,IF($K$1&lt;3,-1,1)*'Member end forces'!$AN$13-'Member end forces'!$C$25)</f>
        <v>64.054792299281814</v>
      </c>
      <c r="N24" s="33">
        <f>IF(K24*'Member end forces'!$C$3&lt;='Member end forces'!$F$20-'Member end forces'!$I$20/2,0,IF(K24*'Member end forces'!$C$3&lt;='Member end forces'!$F$20+'Member end forces'!$I$20/2,-'Member end forces'!$C$20*(K24*'Member end forces'!$C$3-'Member end forces'!$F$20+'Member end forces'!$I$20/2),-'Member end forces'!$C$20*'Member end forces'!$I$20))</f>
        <v>-30</v>
      </c>
      <c r="O24" s="33">
        <f t="shared" si="3"/>
        <v>34.054792299281814</v>
      </c>
      <c r="P24" s="33">
        <f>IF(K24*'Member end forces'!$C$3&lt;='Member end forces'!$F$25,-'Member end forces'!$AL$13+IF($K$1&lt;3,-1,1)*'Member end forces'!$AN$13*K24*'Member end forces'!$C$3,-'Member end forces'!$AL$13+IF($K$1&lt;3,-1,1)*'Member end forces'!$AN$13*K24*'Member end forces'!$C$3-'Member end forces'!$C$25*(K24*'Member end forces'!$C$3-'Member end forces'!$F$25))</f>
        <v>99.541541700251912</v>
      </c>
      <c r="Q24" s="33">
        <f>IF(K24*'Member end forces'!$C$3&lt;='Member end forces'!$F$20-'Member end forces'!$I$20/2,0,IF(K24*'Member end forces'!$C$3&lt;='Member end forces'!$F$20+'Member end forces'!$I$20/2,-'Member end forces'!$C$20/2*(K24*'Member end forces'!$C$3-'Member end forces'!$F$20+'Member end forces'!$I$20/2)^2,-'Member end forces'!$C$20*'Member end forces'!$I$20*(K24*'Member end forces'!$C$3-'Member end forces'!$F$20)))</f>
        <v>-37.5</v>
      </c>
      <c r="R24" s="33">
        <f t="shared" si="4"/>
        <v>62.041541700251912</v>
      </c>
      <c r="S24" s="33">
        <f t="shared" si="5"/>
        <v>-62.041541700251912</v>
      </c>
      <c r="U24" s="37">
        <v>1</v>
      </c>
      <c r="V24" s="33">
        <f>-'Member end forces'!$AP$14</f>
        <v>0</v>
      </c>
      <c r="W24" s="33">
        <f>IF(U24*'Member end forces'!$C$4&lt;='Member end forces'!$F$26,IF($U$1&lt;3,-1,1)*'Member end forces'!$AN$14,IF($U$1&lt;3,-1,1)*'Member end forces'!$AN$14-'Member end forces'!$C$26)</f>
        <v>-2</v>
      </c>
      <c r="X24" s="33">
        <f>IF(U24*'Member end forces'!$C$4&lt;='Member end forces'!$F$21-'Member end forces'!$I$21/2,0,IF(U24*'Member end forces'!$C$4&lt;='Member end forces'!$F$21+'Member end forces'!$I$21/2,-'Member end forces'!$C$21*(U24*'Member end forces'!$C$4-'Member end forces'!$F$21+'Member end forces'!$I$21/2),-'Member end forces'!$C$21*'Member end forces'!$I$21))</f>
        <v>-5</v>
      </c>
      <c r="Y24" s="33">
        <f t="shared" si="6"/>
        <v>-7</v>
      </c>
      <c r="Z24" s="33">
        <f>IF(U24*'Member end forces'!$C$4&lt;='Member end forces'!$F$26,-'Member end forces'!$AL$14+IF($U$1&lt;3,-1,1)*'Member end forces'!$AN$14*U24*'Member end forces'!$C$4,-'Member end forces'!$AL$14+IF($U$1&lt;3,-1,1)*'Member end forces'!$AN$14*U24*'Member end forces'!$C$4-'Member end forces'!$C$26*(U24*'Member end forces'!$C$4-'Member end forces'!$F$26))</f>
        <v>-4</v>
      </c>
      <c r="AA24" s="33">
        <f>IF(U24*'Member end forces'!$C$4&lt;='Member end forces'!$F$21-'Member end forces'!$I$21/2,0,IF(U24*'Member end forces'!$C$4&lt;='Member end forces'!$F$21+'Member end forces'!$I$21/2,-'Member end forces'!$C$21/2*(U24*'Member end forces'!$C$4-'Member end forces'!$F$21+'Member end forces'!$I$21/2)^2,-'Member end forces'!$C$21*'Member end forces'!$I$21*(U24*'Member end forces'!$C$4-'Member end forces'!$F$21)))</f>
        <v>-2.5</v>
      </c>
      <c r="AB24" s="33">
        <f t="shared" si="7"/>
        <v>-6.5</v>
      </c>
      <c r="AC24" s="33">
        <f t="shared" si="8"/>
        <v>6.5</v>
      </c>
      <c r="AE24" s="37">
        <v>1</v>
      </c>
      <c r="AF24" s="33">
        <f>-'Member end forces'!$AP$15</f>
        <v>-34.054792299281814</v>
      </c>
      <c r="AG24" s="33">
        <f>IF(AE24*'Member end forces'!$C$5&lt;='Member end forces'!$F$27,IF($AE$1&lt;3,-1,1)*'Member end forces'!$AN$15,IF($AE$1&lt;3,-1,1)*'Member end forces'!$AN$15-'Member end forces'!$C$27)</f>
        <v>3.0798846459072848</v>
      </c>
      <c r="AH24" s="33">
        <f>IF(AE24*'Member end forces'!$C$5&lt;='Member end forces'!$F$22-'Member end forces'!$I$22/2,0,IF(AE24*'Member end forces'!$C$5&lt;='Member end forces'!$F$22+'Member end forces'!$I$22/2,-'Member end forces'!$C$22*(AE24*'Member end forces'!$C$5-'Member end forces'!$F$22+'Member end forces'!$I$22/2),-'Member end forces'!$C$22*'Member end forces'!$I$22))</f>
        <v>-45</v>
      </c>
      <c r="AI24" s="33">
        <f t="shared" si="9"/>
        <v>-41.920115354092715</v>
      </c>
      <c r="AJ24" s="33">
        <f>IF(AE24*'Member end forces'!$C$5&lt;='Member end forces'!$F$27,-'Member end forces'!$AL$15+IF($AE$1&lt;3,-1,1)*'Member end forces'!$AN$15*AE24*'Member end forces'!$C$5,-'Member end forces'!$AL$15+IF($AE$1&lt;3,-1,1)*'Member end forces'!$AN$15*AE24*'Member end forces'!$C$5-'Member end forces'!$C$27*(AE24*'Member end forces'!$C$5-'Member end forces'!$F$27))</f>
        <v>34.208458299748116</v>
      </c>
      <c r="AK24" s="33">
        <f>IF(AE24*'Member end forces'!$C$5&lt;='Member end forces'!$F$22-'Member end forces'!$I$22/2,0,IF(AE24*'Member end forces'!$C$5&lt;='Member end forces'!$F$22+'Member end forces'!$I$22/2,-'Member end forces'!$C$22/2*(AE24*'Member end forces'!$C$5-'Member end forces'!$F$22+'Member end forces'!$I$22/2)^2,-'Member end forces'!$C$22*'Member end forces'!$I$22*(AE24*'Member end forces'!$C$5-'Member end forces'!$F$22)))</f>
        <v>-112.5</v>
      </c>
      <c r="AL24" s="33">
        <f t="shared" si="10"/>
        <v>-78.291541700251884</v>
      </c>
      <c r="AM24" s="33">
        <f t="shared" si="11"/>
        <v>78.291541700251884</v>
      </c>
      <c r="AO24" s="37">
        <v>1</v>
      </c>
      <c r="AP24" s="33">
        <f>-'Member end forces'!$AP$16</f>
        <v>0</v>
      </c>
      <c r="AQ24" s="33">
        <f>IF(AO24*'Member end forces'!$C$6&lt;='Member end forces'!$F$28,IF($AO$1&lt;3,-1,1)*'Member end forces'!$AN$16,IF($AO$1&lt;3,-1,1)*'Member end forces'!$AN$16-'Member end forces'!$C$28)</f>
        <v>5</v>
      </c>
      <c r="AR24" s="33">
        <f>IF(AO24*'Member end forces'!$C$6&lt;='Member end forces'!$F$23-'Member end forces'!$I$23/2,0,IF(AO24*'Member end forces'!$C$6&lt;='Member end forces'!$F$23+'Member end forces'!$I$23/2,-'Member end forces'!$C$23*(AO24*'Member end forces'!$C$6-'Member end forces'!$F$23+'Member end forces'!$I$23/2),-'Member end forces'!$C$23*'Member end forces'!$I$23))</f>
        <v>-5</v>
      </c>
      <c r="AS24" s="33">
        <f t="shared" si="12"/>
        <v>0</v>
      </c>
      <c r="AT24" s="33">
        <f>IF(AO24*'Member end forces'!$C$6&lt;='Member end forces'!$F$28,-'Member end forces'!$AL$16+IF($AO$1&lt;3,-1,1)*'Member end forces'!$AN$16*AO24*'Member end forces'!$C$6,-'Member end forces'!$AL$16+IF($AO$1&lt;3,-1,1)*'Member end forces'!$AN$16*AO24*'Member end forces'!$C$6-'Member end forces'!$C$28*(AO24*'Member end forces'!$C$6-'Member end forces'!$F$28))</f>
        <v>1.25</v>
      </c>
      <c r="AU24" s="33">
        <f>IF(AO24*'Member end forces'!$C$6&lt;='Member end forces'!$F$23-'Member end forces'!$I$23/2,0,IF(AO24*'Member end forces'!$C$6&lt;='Member end forces'!$F$23+'Member end forces'!$I$23/2,-'Member end forces'!$C$23/2*(AO24*'Member end forces'!$C$6-'Member end forces'!$F$23+'Member end forces'!$I$23/2)^2,-'Member end forces'!$C$23*'Member end forces'!$I$23*(AO24*'Member end forces'!$C$6-'Member end forces'!$F$23)))</f>
        <v>-1.25</v>
      </c>
      <c r="AV24" s="33">
        <f t="shared" si="13"/>
        <v>0</v>
      </c>
      <c r="AW24" s="33">
        <f t="shared" si="14"/>
        <v>0</v>
      </c>
    </row>
    <row r="25" spans="1:49" ht="15.75" customHeight="1" x14ac:dyDescent="0.25"/>
    <row r="26" spans="1:49" ht="15.75" customHeight="1" x14ac:dyDescent="0.25"/>
    <row r="27" spans="1:49" ht="15.75" customHeight="1" x14ac:dyDescent="0.25"/>
    <row r="28" spans="1:49" ht="15.75" customHeight="1" x14ac:dyDescent="0.25"/>
    <row r="29" spans="1:49" ht="15.75" customHeight="1" x14ac:dyDescent="0.25"/>
    <row r="30" spans="1:49" ht="15.75" customHeight="1" x14ac:dyDescent="0.25"/>
    <row r="31" spans="1:49" ht="15.75" customHeight="1" x14ac:dyDescent="0.25"/>
    <row r="32" spans="1:4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>
      <selection activeCell="A5" sqref="A5"/>
    </sheetView>
  </sheetViews>
  <sheetFormatPr baseColWidth="10" defaultColWidth="14.42578125" defaultRowHeight="15" customHeight="1" x14ac:dyDescent="0.25"/>
  <cols>
    <col min="1" max="26" width="10.7109375" customWidth="1"/>
  </cols>
  <sheetData>
    <row r="1" spans="1:5" x14ac:dyDescent="0.25">
      <c r="A1" s="13" t="s">
        <v>28</v>
      </c>
      <c r="B1" s="13" t="s">
        <v>159</v>
      </c>
    </row>
    <row r="2" spans="1:5" x14ac:dyDescent="0.25">
      <c r="B2" s="13" t="s">
        <v>160</v>
      </c>
      <c r="C2" s="13" t="s">
        <v>161</v>
      </c>
      <c r="D2" s="13" t="s">
        <v>162</v>
      </c>
      <c r="E2" s="13" t="s">
        <v>163</v>
      </c>
    </row>
    <row r="3" spans="1:5" x14ac:dyDescent="0.25">
      <c r="A3" s="13" t="s">
        <v>33</v>
      </c>
      <c r="B3" s="13">
        <v>4</v>
      </c>
      <c r="C3" s="13">
        <v>2</v>
      </c>
      <c r="D3" s="13">
        <v>12</v>
      </c>
      <c r="E3" s="13">
        <v>6</v>
      </c>
    </row>
    <row r="4" spans="1:5" x14ac:dyDescent="0.25">
      <c r="A4" s="13" t="s">
        <v>164</v>
      </c>
      <c r="B4" s="13">
        <v>3</v>
      </c>
      <c r="C4" s="13">
        <v>0</v>
      </c>
      <c r="D4" s="13">
        <v>3</v>
      </c>
      <c r="E4" s="13">
        <v>3</v>
      </c>
    </row>
    <row r="5" spans="1:5" x14ac:dyDescent="0.25">
      <c r="A5" s="13" t="s">
        <v>165</v>
      </c>
      <c r="B5" s="13">
        <v>0</v>
      </c>
      <c r="C5" s="13">
        <v>0</v>
      </c>
      <c r="D5" s="13">
        <v>0</v>
      </c>
      <c r="E5" s="13"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Member end forces</vt:lpstr>
      <vt:lpstr>Internal forces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2022-04-04T12:35:48Z</dcterms:created>
  <dcterms:modified xsi:type="dcterms:W3CDTF">2022-04-27T17:48:39Z</dcterms:modified>
</cp:coreProperties>
</file>