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ETSIE\Instalaciones I\BLOQUE II - SISTEMAS ENERGETICOS\Varios Bloque II\Aplicaciones comunes\"/>
    </mc:Choice>
  </mc:AlternateContent>
  <xr:revisionPtr revIDLastSave="0" documentId="8_{5B2FCA66-E405-4827-A28F-9F7F3428C499}" xr6:coauthVersionLast="47" xr6:coauthVersionMax="47" xr10:uidLastSave="{00000000-0000-0000-0000-000000000000}"/>
  <bookViews>
    <workbookView xWindow="-120" yWindow="-120" windowWidth="29040" windowHeight="15720" xr2:uid="{53E0B6CE-60C3-48B9-95C8-C70729E922F3}"/>
  </bookViews>
  <sheets>
    <sheet name="Inicio" sheetId="9" r:id="rId1"/>
    <sheet name="Demanda" sheetId="1" r:id="rId2"/>
    <sheet name="EST" sheetId="2" r:id="rId3"/>
    <sheet name="Aerotermia" sheetId="7" r:id="rId4"/>
    <sheet name="FV" sheetId="6" r:id="rId5"/>
    <sheet name="Modelos de captadores" sheetId="5" r:id="rId6"/>
    <sheet name="Modelos de modulos FV" sheetId="8" r:id="rId7"/>
    <sheet name="Aux" sheetId="3" r:id="rId8"/>
    <sheet name="Aux1" sheetId="4" r:id="rId9"/>
  </sheets>
  <definedNames>
    <definedName name="_LAT28">'Aux1'!$B$26:$N$44</definedName>
    <definedName name="_LAT29">'Aux1'!$B$49:$N$67</definedName>
    <definedName name="_LAT34">'Aux1'!$B$72:$N$90</definedName>
    <definedName name="_LAT35">'Aux1'!$B$95:$N$113</definedName>
    <definedName name="_LAT36">'Aux1'!$B$118:$N$136</definedName>
    <definedName name="_LAT37">'Aux1'!$B$141:$N$159</definedName>
    <definedName name="_LAT38">'Aux1'!$B$164:$N$182</definedName>
    <definedName name="_LAT39">'Aux1'!$B$187:$N$205</definedName>
    <definedName name="_LAT40">'Aux1'!$B$210:$N$228</definedName>
    <definedName name="_LAT41">'Aux1'!$B$233:$N$251</definedName>
    <definedName name="_LAT42">'Aux1'!$B$256:$N$274</definedName>
    <definedName name="_LAT43">'Aux1'!$B$279:$N$297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E40" i="6" l="1"/>
  <c r="N40" i="6"/>
  <c r="L40" i="6"/>
  <c r="I40" i="6"/>
  <c r="G40" i="6"/>
  <c r="O40" i="6"/>
  <c r="M40" i="6"/>
  <c r="K40" i="6"/>
  <c r="J40" i="6"/>
  <c r="H40" i="6"/>
  <c r="F40" i="6"/>
  <c r="D40" i="6"/>
  <c r="Q22" i="2"/>
  <c r="N38" i="6" s="1"/>
  <c r="O22" i="2"/>
  <c r="L38" i="6" s="1"/>
  <c r="L22" i="2"/>
  <c r="I38" i="6" s="1"/>
  <c r="J22" i="2"/>
  <c r="G38" i="6" s="1"/>
  <c r="H22" i="2"/>
  <c r="E38" i="6" s="1"/>
  <c r="R22" i="2"/>
  <c r="O38" i="6" s="1"/>
  <c r="P22" i="2"/>
  <c r="M38" i="6" s="1"/>
  <c r="N22" i="2"/>
  <c r="K38" i="6" s="1"/>
  <c r="M22" i="2"/>
  <c r="J38" i="6" s="1"/>
  <c r="K22" i="2"/>
  <c r="H38" i="6" s="1"/>
  <c r="I22" i="2"/>
  <c r="F38" i="6" s="1"/>
  <c r="G22" i="2"/>
  <c r="D38" i="6" s="1"/>
  <c r="C26" i="6"/>
  <c r="C25" i="6"/>
  <c r="C51" i="6" s="1"/>
  <c r="C24" i="6"/>
  <c r="C23" i="6"/>
  <c r="C47" i="6" s="1"/>
  <c r="C22" i="6"/>
  <c r="C21" i="6"/>
  <c r="C20" i="6"/>
  <c r="C19" i="6"/>
  <c r="C18" i="6"/>
  <c r="C17" i="6"/>
  <c r="B16" i="6"/>
  <c r="C9" i="6"/>
  <c r="XFB13" i="1"/>
  <c r="C3" i="6" s="1"/>
  <c r="C4" i="6" s="1"/>
  <c r="C8" i="6" s="1"/>
  <c r="C10" i="6" s="1"/>
  <c r="C30" i="6" s="1"/>
  <c r="C52" i="6" l="1"/>
  <c r="C63" i="6" s="1"/>
  <c r="C53" i="6"/>
  <c r="C64" i="6" s="1"/>
  <c r="C46" i="6"/>
  <c r="C69" i="6" s="1"/>
  <c r="C70" i="6" s="1"/>
  <c r="C71" i="6" s="1"/>
  <c r="A49" i="7"/>
  <c r="C11" i="7"/>
  <c r="H49" i="7" s="1"/>
  <c r="B11" i="7"/>
  <c r="F49" i="7" s="1"/>
  <c r="C65" i="6" l="1"/>
  <c r="C66" i="6" s="1"/>
  <c r="D49" i="7"/>
  <c r="D48" i="7"/>
  <c r="D53" i="7" s="1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16" i="7"/>
  <c r="E32" i="7"/>
  <c r="E27" i="7"/>
  <c r="E26" i="7"/>
  <c r="E25" i="7"/>
  <c r="E24" i="7"/>
  <c r="E23" i="7"/>
  <c r="E22" i="7"/>
  <c r="E21" i="7"/>
  <c r="E20" i="7"/>
  <c r="E19" i="7"/>
  <c r="E18" i="7"/>
  <c r="E17" i="7"/>
  <c r="E53" i="7" l="1"/>
  <c r="G5" i="2" l="1"/>
  <c r="G6" i="2"/>
  <c r="E17" i="1"/>
  <c r="B1" i="4"/>
  <c r="F33" i="1"/>
  <c r="E16" i="1"/>
  <c r="E18" i="1"/>
  <c r="G33" i="1"/>
  <c r="H33" i="1"/>
  <c r="I33" i="1"/>
  <c r="J33" i="1"/>
  <c r="K33" i="1"/>
  <c r="L33" i="1"/>
  <c r="M33" i="1"/>
  <c r="N33" i="1"/>
  <c r="O33" i="1"/>
  <c r="P33" i="1"/>
  <c r="Q33" i="1"/>
  <c r="G16" i="2"/>
  <c r="G18" i="2" s="1"/>
  <c r="G25" i="2"/>
  <c r="H16" i="2"/>
  <c r="H18" i="2" s="1"/>
  <c r="H25" i="2"/>
  <c r="I16" i="2"/>
  <c r="I18" i="2" s="1"/>
  <c r="I25" i="2"/>
  <c r="J16" i="2"/>
  <c r="J18" i="2" s="1"/>
  <c r="J25" i="2"/>
  <c r="K16" i="2"/>
  <c r="K18" i="2" s="1"/>
  <c r="K25" i="2"/>
  <c r="L16" i="2"/>
  <c r="L18" i="2" s="1"/>
  <c r="L25" i="2"/>
  <c r="M16" i="2"/>
  <c r="M18" i="2" s="1"/>
  <c r="M25" i="2"/>
  <c r="N16" i="2"/>
  <c r="N18" i="2" s="1"/>
  <c r="N25" i="2"/>
  <c r="O16" i="2"/>
  <c r="O18" i="2" s="1"/>
  <c r="O25" i="2"/>
  <c r="P16" i="2"/>
  <c r="P18" i="2" s="1"/>
  <c r="P25" i="2"/>
  <c r="Q16" i="2"/>
  <c r="Q18" i="2" s="1"/>
  <c r="Q25" i="2"/>
  <c r="R16" i="2"/>
  <c r="R18" i="2" s="1"/>
  <c r="R25" i="2"/>
  <c r="F32" i="1"/>
  <c r="G32" i="1"/>
  <c r="H32" i="1"/>
  <c r="I32" i="1"/>
  <c r="J32" i="1"/>
  <c r="K32" i="1"/>
  <c r="L32" i="1"/>
  <c r="M32" i="1"/>
  <c r="N32" i="1"/>
  <c r="O32" i="1"/>
  <c r="P32" i="1"/>
  <c r="Q32" i="1"/>
  <c r="G36" i="2"/>
  <c r="G69" i="2"/>
  <c r="G81" i="2"/>
  <c r="G7" i="2"/>
  <c r="E4" i="2"/>
  <c r="G42" i="2"/>
  <c r="G44" i="2" s="1"/>
  <c r="G24" i="2"/>
  <c r="P24" i="2" s="1"/>
  <c r="AC22" i="3"/>
  <c r="S25" i="2"/>
  <c r="O22" i="3"/>
  <c r="S16" i="2"/>
  <c r="S18" i="2" s="1"/>
  <c r="E5" i="1"/>
  <c r="E8" i="1"/>
  <c r="E7" i="1"/>
  <c r="E6" i="1"/>
  <c r="AC56" i="3"/>
  <c r="O56" i="3"/>
  <c r="AC55" i="3"/>
  <c r="O55" i="3"/>
  <c r="AC54" i="3"/>
  <c r="O54" i="3"/>
  <c r="AC53" i="3"/>
  <c r="O53" i="3"/>
  <c r="AC52" i="3"/>
  <c r="O52" i="3"/>
  <c r="AC51" i="3"/>
  <c r="O51" i="3"/>
  <c r="AC50" i="3"/>
  <c r="O50" i="3"/>
  <c r="AC49" i="3"/>
  <c r="O49" i="3"/>
  <c r="AC48" i="3"/>
  <c r="O48" i="3"/>
  <c r="AC47" i="3"/>
  <c r="O47" i="3"/>
  <c r="AC46" i="3"/>
  <c r="O46" i="3"/>
  <c r="AC45" i="3"/>
  <c r="O45" i="3"/>
  <c r="AC44" i="3"/>
  <c r="O44" i="3"/>
  <c r="AC43" i="3"/>
  <c r="O43" i="3"/>
  <c r="AC42" i="3"/>
  <c r="O42" i="3"/>
  <c r="AC41" i="3"/>
  <c r="O41" i="3"/>
  <c r="AC40" i="3"/>
  <c r="O40" i="3"/>
  <c r="AC39" i="3"/>
  <c r="O39" i="3"/>
  <c r="AC38" i="3"/>
  <c r="O38" i="3"/>
  <c r="AC37" i="3"/>
  <c r="O37" i="3"/>
  <c r="AC36" i="3"/>
  <c r="O36" i="3"/>
  <c r="AC35" i="3"/>
  <c r="O35" i="3"/>
  <c r="AC34" i="3"/>
  <c r="O34" i="3"/>
  <c r="AC33" i="3"/>
  <c r="O33" i="3"/>
  <c r="AC32" i="3"/>
  <c r="O32" i="3"/>
  <c r="AC31" i="3"/>
  <c r="O31" i="3"/>
  <c r="AC30" i="3"/>
  <c r="O30" i="3"/>
  <c r="AC29" i="3"/>
  <c r="O29" i="3"/>
  <c r="AC28" i="3"/>
  <c r="O28" i="3"/>
  <c r="AC27" i="3"/>
  <c r="O27" i="3"/>
  <c r="AC26" i="3"/>
  <c r="O26" i="3"/>
  <c r="AC25" i="3"/>
  <c r="O25" i="3"/>
  <c r="AC24" i="3"/>
  <c r="O24" i="3"/>
  <c r="AC23" i="3"/>
  <c r="O23" i="3"/>
  <c r="AC21" i="3"/>
  <c r="O21" i="3"/>
  <c r="AC20" i="3"/>
  <c r="O20" i="3"/>
  <c r="AC19" i="3"/>
  <c r="O19" i="3"/>
  <c r="AC18" i="3"/>
  <c r="O18" i="3"/>
  <c r="AC17" i="3"/>
  <c r="O17" i="3"/>
  <c r="AC16" i="3"/>
  <c r="O16" i="3"/>
  <c r="AC15" i="3"/>
  <c r="O15" i="3"/>
  <c r="AC14" i="3"/>
  <c r="O14" i="3"/>
  <c r="AC13" i="3"/>
  <c r="O13" i="3"/>
  <c r="AC12" i="3"/>
  <c r="O12" i="3"/>
  <c r="AC11" i="3"/>
  <c r="O11" i="3"/>
  <c r="AC10" i="3"/>
  <c r="O10" i="3"/>
  <c r="AC9" i="3"/>
  <c r="O9" i="3"/>
  <c r="AC8" i="3"/>
  <c r="O8" i="3"/>
  <c r="AC7" i="3"/>
  <c r="O7" i="3"/>
  <c r="AC6" i="3"/>
  <c r="O6" i="3"/>
  <c r="AC5" i="3"/>
  <c r="O5" i="3"/>
  <c r="R29" i="1"/>
  <c r="S22" i="2"/>
  <c r="R24" i="2" l="1"/>
  <c r="I24" i="2"/>
  <c r="Q24" i="2"/>
  <c r="S24" i="2"/>
  <c r="L24" i="2"/>
  <c r="K24" i="2"/>
  <c r="M24" i="2"/>
  <c r="J24" i="2"/>
  <c r="N24" i="2"/>
  <c r="O24" i="2"/>
  <c r="H24" i="2"/>
  <c r="E19" i="1"/>
  <c r="D21" i="1" s="1"/>
  <c r="B55" i="7" s="1"/>
  <c r="L34" i="1"/>
  <c r="F22" i="7"/>
  <c r="F34" i="1"/>
  <c r="F16" i="7"/>
  <c r="K34" i="1"/>
  <c r="F21" i="7"/>
  <c r="G34" i="1"/>
  <c r="F17" i="7"/>
  <c r="M34" i="1"/>
  <c r="F23" i="7"/>
  <c r="J34" i="1"/>
  <c r="F20" i="7"/>
  <c r="Q34" i="1"/>
  <c r="F27" i="7"/>
  <c r="I34" i="1"/>
  <c r="F19" i="7"/>
  <c r="C75" i="6"/>
  <c r="C77" i="6" s="1"/>
  <c r="C31" i="6"/>
  <c r="C32" i="6" s="1"/>
  <c r="O34" i="1"/>
  <c r="F25" i="7"/>
  <c r="N34" i="1"/>
  <c r="F24" i="7"/>
  <c r="P34" i="1"/>
  <c r="F26" i="7"/>
  <c r="H34" i="1"/>
  <c r="F18" i="7"/>
  <c r="H21" i="4"/>
  <c r="I6" i="4"/>
  <c r="H12" i="4"/>
  <c r="E16" i="4"/>
  <c r="G17" i="4"/>
  <c r="L21" i="4"/>
  <c r="F13" i="4"/>
  <c r="G15" i="4"/>
  <c r="C12" i="4"/>
  <c r="C6" i="4"/>
  <c r="N12" i="4"/>
  <c r="D12" i="4"/>
  <c r="N9" i="4"/>
  <c r="M3" i="4"/>
  <c r="M16" i="4"/>
  <c r="N4" i="4"/>
  <c r="M7" i="4"/>
  <c r="G12" i="4"/>
  <c r="D6" i="4"/>
  <c r="G8" i="4"/>
  <c r="I15" i="4"/>
  <c r="G19" i="4"/>
  <c r="L14" i="4"/>
  <c r="H18" i="4"/>
  <c r="C18" i="4"/>
  <c r="D15" i="4"/>
  <c r="I10" i="4"/>
  <c r="E10" i="4"/>
  <c r="M9" i="4"/>
  <c r="D21" i="4"/>
  <c r="J19" i="4"/>
  <c r="N7" i="4"/>
  <c r="K14" i="4"/>
  <c r="N16" i="4"/>
  <c r="K17" i="4"/>
  <c r="D20" i="4"/>
  <c r="J3" i="4"/>
  <c r="L16" i="4"/>
  <c r="K15" i="4"/>
  <c r="F19" i="4"/>
  <c r="N19" i="4"/>
  <c r="J17" i="4"/>
  <c r="I14" i="4"/>
  <c r="K8" i="4"/>
  <c r="I4" i="4"/>
  <c r="H5" i="4"/>
  <c r="K3" i="4"/>
  <c r="E18" i="4"/>
  <c r="C13" i="4"/>
  <c r="K19" i="4"/>
  <c r="L3" i="4"/>
  <c r="N17" i="4"/>
  <c r="K13" i="4"/>
  <c r="I3" i="4"/>
  <c r="C15" i="4"/>
  <c r="H13" i="4"/>
  <c r="J21" i="4"/>
  <c r="J16" i="4"/>
  <c r="N13" i="4"/>
  <c r="J9" i="4"/>
  <c r="J5" i="4"/>
  <c r="C16" i="4"/>
  <c r="D11" i="4"/>
  <c r="H14" i="4"/>
  <c r="H9" i="4"/>
  <c r="M17" i="4"/>
  <c r="M20" i="4"/>
  <c r="F9" i="4"/>
  <c r="M10" i="4"/>
  <c r="D4" i="4"/>
  <c r="C20" i="4"/>
  <c r="G7" i="4"/>
  <c r="M5" i="4"/>
  <c r="H17" i="4"/>
  <c r="F11" i="4"/>
  <c r="F15" i="4"/>
  <c r="L10" i="4"/>
  <c r="I5" i="4"/>
  <c r="J8" i="4"/>
  <c r="K18" i="4"/>
  <c r="J11" i="4"/>
  <c r="I13" i="4"/>
  <c r="D7" i="4"/>
  <c r="G3" i="4"/>
  <c r="C17" i="4"/>
  <c r="D5" i="4"/>
  <c r="F4" i="4"/>
  <c r="N20" i="4"/>
  <c r="E20" i="4"/>
  <c r="F16" i="4"/>
  <c r="E14" i="4"/>
  <c r="H3" i="4"/>
  <c r="K5" i="4"/>
  <c r="J10" i="4"/>
  <c r="M21" i="4"/>
  <c r="I7" i="4"/>
  <c r="I19" i="4"/>
  <c r="D16" i="4"/>
  <c r="M13" i="4"/>
  <c r="M15" i="4"/>
  <c r="F7" i="4"/>
  <c r="L15" i="4"/>
  <c r="J13" i="4"/>
  <c r="J6" i="4"/>
  <c r="C8" i="4"/>
  <c r="K12" i="4"/>
  <c r="H4" i="4"/>
  <c r="E3" i="4"/>
  <c r="E19" i="4"/>
  <c r="D3" i="4"/>
  <c r="H8" i="4"/>
  <c r="G9" i="4"/>
  <c r="D17" i="4"/>
  <c r="E7" i="4"/>
  <c r="N6" i="4"/>
  <c r="H19" i="4"/>
  <c r="G11" i="4"/>
  <c r="H15" i="4"/>
  <c r="K9" i="4"/>
  <c r="G16" i="4"/>
  <c r="M6" i="4"/>
  <c r="L13" i="4"/>
  <c r="E13" i="4"/>
  <c r="G4" i="4"/>
  <c r="D14" i="4"/>
  <c r="F12" i="4"/>
  <c r="L11" i="4"/>
  <c r="J7" i="4"/>
  <c r="L19" i="4"/>
  <c r="C10" i="4"/>
  <c r="H16" i="4"/>
  <c r="L20" i="4"/>
  <c r="E4" i="4"/>
  <c r="G10" i="4"/>
  <c r="H11" i="4"/>
  <c r="I18" i="4"/>
  <c r="M18" i="4"/>
  <c r="F3" i="4"/>
  <c r="F17" i="4"/>
  <c r="J4" i="4"/>
  <c r="K21" i="4"/>
  <c r="G5" i="4"/>
  <c r="H7" i="4"/>
  <c r="G13" i="4"/>
  <c r="C19" i="4"/>
  <c r="K10" i="4"/>
  <c r="F18" i="4"/>
  <c r="H10" i="4"/>
  <c r="N8" i="4"/>
  <c r="N5" i="4"/>
  <c r="E21" i="4"/>
  <c r="F21" i="4"/>
  <c r="J18" i="4"/>
  <c r="G6" i="4"/>
  <c r="G14" i="4"/>
  <c r="M11" i="4"/>
  <c r="D9" i="4"/>
  <c r="M19" i="4"/>
  <c r="N11" i="4"/>
  <c r="K6" i="4"/>
  <c r="L18" i="4"/>
  <c r="J14" i="4"/>
  <c r="C21" i="4"/>
  <c r="C9" i="4"/>
  <c r="E15" i="4"/>
  <c r="I9" i="4"/>
  <c r="E17" i="4"/>
  <c r="I20" i="4"/>
  <c r="I11" i="4"/>
  <c r="G18" i="4"/>
  <c r="L6" i="4"/>
  <c r="F20" i="4"/>
  <c r="L12" i="4"/>
  <c r="N10" i="4"/>
  <c r="E9" i="4"/>
  <c r="K4" i="4"/>
  <c r="F6" i="4"/>
  <c r="E12" i="4"/>
  <c r="I21" i="4"/>
  <c r="M14" i="4"/>
  <c r="D8" i="4"/>
  <c r="L7" i="4"/>
  <c r="C7" i="4"/>
  <c r="N15" i="4"/>
  <c r="J15" i="4"/>
  <c r="I16" i="4"/>
  <c r="D19" i="4"/>
  <c r="D18" i="4"/>
  <c r="J20" i="4"/>
  <c r="K16" i="4"/>
  <c r="F5" i="4"/>
  <c r="C14" i="4"/>
  <c r="H20" i="4"/>
  <c r="E8" i="4"/>
  <c r="C3" i="4"/>
  <c r="I12" i="4"/>
  <c r="I17" i="4"/>
  <c r="C11" i="4"/>
  <c r="M8" i="4"/>
  <c r="N3" i="4"/>
  <c r="L4" i="4"/>
  <c r="L9" i="4"/>
  <c r="N14" i="4"/>
  <c r="H6" i="4"/>
  <c r="E11" i="4"/>
  <c r="M12" i="4"/>
  <c r="F8" i="4"/>
  <c r="D10" i="4"/>
  <c r="K7" i="4"/>
  <c r="L5" i="4"/>
  <c r="E6" i="4"/>
  <c r="F14" i="4"/>
  <c r="J12" i="4"/>
  <c r="C5" i="4"/>
  <c r="K11" i="4"/>
  <c r="G21" i="4"/>
  <c r="I8" i="4"/>
  <c r="K20" i="4"/>
  <c r="D13" i="4"/>
  <c r="C4" i="4"/>
  <c r="E5" i="4"/>
  <c r="L8" i="4"/>
  <c r="L17" i="4"/>
  <c r="M4" i="4"/>
  <c r="G20" i="4"/>
  <c r="N18" i="4"/>
  <c r="N21" i="4"/>
  <c r="F10" i="4"/>
  <c r="N30" i="1" l="1"/>
  <c r="Q20" i="2"/>
  <c r="Q21" i="2" s="1"/>
  <c r="Q23" i="2" s="1"/>
  <c r="Q26" i="2" s="1"/>
  <c r="Q27" i="2" s="1"/>
  <c r="Q28" i="2" s="1"/>
  <c r="P20" i="2"/>
  <c r="P21" i="2" s="1"/>
  <c r="P23" i="2" s="1"/>
  <c r="P26" i="2" s="1"/>
  <c r="P27" i="2" s="1"/>
  <c r="P28" i="2" s="1"/>
  <c r="L20" i="2"/>
  <c r="L21" i="2" s="1"/>
  <c r="L23" i="2" s="1"/>
  <c r="L26" i="2" s="1"/>
  <c r="L27" i="2" s="1"/>
  <c r="L28" i="2" s="1"/>
  <c r="R20" i="2"/>
  <c r="R21" i="2" s="1"/>
  <c r="R23" i="2" s="1"/>
  <c r="R26" i="2" s="1"/>
  <c r="R27" i="2" s="1"/>
  <c r="R28" i="2" s="1"/>
  <c r="I20" i="2"/>
  <c r="I21" i="2" s="1"/>
  <c r="I23" i="2" s="1"/>
  <c r="I26" i="2" s="1"/>
  <c r="I27" i="2" s="1"/>
  <c r="I28" i="2" s="1"/>
  <c r="K20" i="2"/>
  <c r="K21" i="2" s="1"/>
  <c r="K23" i="2" s="1"/>
  <c r="K26" i="2" s="1"/>
  <c r="K27" i="2" s="1"/>
  <c r="K28" i="2" s="1"/>
  <c r="J20" i="2"/>
  <c r="J21" i="2" s="1"/>
  <c r="J23" i="2" s="1"/>
  <c r="J26" i="2" s="1"/>
  <c r="J27" i="2" s="1"/>
  <c r="J28" i="2" s="1"/>
  <c r="O20" i="2"/>
  <c r="O21" i="2" s="1"/>
  <c r="O23" i="2" s="1"/>
  <c r="O26" i="2" s="1"/>
  <c r="O27" i="2" s="1"/>
  <c r="O28" i="2" s="1"/>
  <c r="G20" i="2"/>
  <c r="G21" i="2" s="1"/>
  <c r="G23" i="2" s="1"/>
  <c r="N20" i="2"/>
  <c r="N21" i="2" s="1"/>
  <c r="N23" i="2" s="1"/>
  <c r="N26" i="2" s="1"/>
  <c r="N27" i="2" s="1"/>
  <c r="N28" i="2" s="1"/>
  <c r="M20" i="2"/>
  <c r="M21" i="2" s="1"/>
  <c r="M23" i="2" s="1"/>
  <c r="M26" i="2" s="1"/>
  <c r="M27" i="2" s="1"/>
  <c r="M28" i="2" s="1"/>
  <c r="H20" i="2"/>
  <c r="H21" i="2" s="1"/>
  <c r="H23" i="2" s="1"/>
  <c r="H26" i="2" s="1"/>
  <c r="H27" i="2" s="1"/>
  <c r="H28" i="2" s="1"/>
  <c r="N31" i="1"/>
  <c r="N35" i="1" s="1"/>
  <c r="C24" i="7"/>
  <c r="H30" i="1"/>
  <c r="M30" i="1"/>
  <c r="L30" i="1"/>
  <c r="K30" i="1"/>
  <c r="Q30" i="1"/>
  <c r="I30" i="1"/>
  <c r="O30" i="1"/>
  <c r="F30" i="1"/>
  <c r="C16" i="7" s="1"/>
  <c r="G30" i="1"/>
  <c r="P30" i="1"/>
  <c r="J30" i="1"/>
  <c r="I31" i="1" l="1"/>
  <c r="I35" i="1" s="1"/>
  <c r="C19" i="7"/>
  <c r="Q31" i="1"/>
  <c r="Q35" i="1" s="1"/>
  <c r="C27" i="7"/>
  <c r="K31" i="1"/>
  <c r="K35" i="1" s="1"/>
  <c r="C21" i="7"/>
  <c r="L31" i="1"/>
  <c r="L35" i="1" s="1"/>
  <c r="C22" i="7"/>
  <c r="P31" i="1"/>
  <c r="P35" i="1" s="1"/>
  <c r="C26" i="7"/>
  <c r="M31" i="1"/>
  <c r="M35" i="1" s="1"/>
  <c r="C23" i="7"/>
  <c r="J31" i="1"/>
  <c r="J35" i="1" s="1"/>
  <c r="C20" i="7"/>
  <c r="G31" i="1"/>
  <c r="G35" i="1" s="1"/>
  <c r="C17" i="7"/>
  <c r="H31" i="1"/>
  <c r="H35" i="1" s="1"/>
  <c r="C18" i="7"/>
  <c r="C32" i="7"/>
  <c r="D16" i="7"/>
  <c r="C40" i="7"/>
  <c r="D24" i="7"/>
  <c r="O31" i="1"/>
  <c r="O35" i="1" s="1"/>
  <c r="C25" i="7"/>
  <c r="R30" i="1"/>
  <c r="F31" i="1"/>
  <c r="F35" i="1" s="1"/>
  <c r="G26" i="2"/>
  <c r="G27" i="2" s="1"/>
  <c r="S23" i="2"/>
  <c r="S26" i="2" s="1"/>
  <c r="R35" i="1" l="1"/>
  <c r="G33" i="2" s="1"/>
  <c r="G34" i="2" s="1"/>
  <c r="C41" i="7"/>
  <c r="D25" i="7"/>
  <c r="C33" i="7"/>
  <c r="D17" i="7"/>
  <c r="C38" i="7"/>
  <c r="D22" i="7"/>
  <c r="G24" i="7"/>
  <c r="D40" i="7"/>
  <c r="G40" i="7" s="1"/>
  <c r="C36" i="7"/>
  <c r="D20" i="7"/>
  <c r="C37" i="7"/>
  <c r="D21" i="7"/>
  <c r="G16" i="7"/>
  <c r="D32" i="7"/>
  <c r="G32" i="7" s="1"/>
  <c r="C39" i="7"/>
  <c r="D23" i="7"/>
  <c r="C43" i="7"/>
  <c r="D27" i="7"/>
  <c r="C34" i="7"/>
  <c r="D18" i="7"/>
  <c r="C42" i="7"/>
  <c r="D26" i="7"/>
  <c r="C35" i="7"/>
  <c r="D19" i="7"/>
  <c r="R31" i="1"/>
  <c r="G28" i="2"/>
  <c r="S28" i="2" s="1"/>
  <c r="S27" i="2"/>
  <c r="G35" i="2" l="1"/>
  <c r="G59" i="2" s="1"/>
  <c r="G23" i="7"/>
  <c r="D39" i="7"/>
  <c r="G39" i="7" s="1"/>
  <c r="D42" i="7"/>
  <c r="G42" i="7" s="1"/>
  <c r="G26" i="7"/>
  <c r="G18" i="7"/>
  <c r="D34" i="7"/>
  <c r="G34" i="7" s="1"/>
  <c r="G21" i="7"/>
  <c r="D37" i="7"/>
  <c r="G37" i="7" s="1"/>
  <c r="G17" i="7"/>
  <c r="D33" i="7"/>
  <c r="G33" i="7" s="1"/>
  <c r="G19" i="7"/>
  <c r="D35" i="7"/>
  <c r="G35" i="7" s="1"/>
  <c r="G22" i="7"/>
  <c r="D38" i="7"/>
  <c r="G38" i="7" s="1"/>
  <c r="G27" i="7"/>
  <c r="D43" i="7"/>
  <c r="G43" i="7" s="1"/>
  <c r="G20" i="7"/>
  <c r="D36" i="7"/>
  <c r="G36" i="7" s="1"/>
  <c r="G25" i="7"/>
  <c r="D41" i="7"/>
  <c r="G41" i="7" s="1"/>
  <c r="G54" i="2" l="1"/>
  <c r="G37" i="2"/>
  <c r="G49" i="2" s="1"/>
  <c r="G60" i="2"/>
  <c r="G44" i="7"/>
  <c r="C49" i="7" s="1"/>
  <c r="E49" i="7" s="1"/>
  <c r="G28" i="7"/>
  <c r="C48" i="7" s="1"/>
  <c r="E48" i="7" s="1"/>
  <c r="B48" i="7" l="1"/>
  <c r="B49" i="7"/>
  <c r="D54" i="7"/>
  <c r="D55" i="7" s="1"/>
  <c r="E55" i="7" s="1"/>
  <c r="G71" i="2"/>
  <c r="G73" i="2" s="1"/>
  <c r="I49" i="7"/>
  <c r="G49" i="7"/>
  <c r="G48" i="7"/>
  <c r="I48" i="7"/>
  <c r="G74" i="2" l="1"/>
  <c r="G82" i="2" s="1"/>
  <c r="I50" i="7"/>
  <c r="G50" i="7"/>
</calcChain>
</file>

<file path=xl/sharedStrings.xml><?xml version="1.0" encoding="utf-8"?>
<sst xmlns="http://schemas.openxmlformats.org/spreadsheetml/2006/main" count="1134" uniqueCount="457">
  <si>
    <t>Altitud</t>
  </si>
  <si>
    <t>Latitud</t>
  </si>
  <si>
    <t>Temperatura mínima histórica (ºC)</t>
  </si>
  <si>
    <t>ºC</t>
  </si>
  <si>
    <t>kWh/mes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</si>
  <si>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</si>
  <si>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</si>
  <si>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</si>
  <si>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</si>
  <si>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</si>
  <si>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</si>
  <si>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</si>
  <si>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</si>
  <si>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</si>
  <si>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</si>
  <si>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</si>
  <si>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</si>
  <si>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Contribución energía renovable</t>
  </si>
  <si>
    <t>Enegía solar recibida sobre el plano del captador</t>
  </si>
  <si>
    <t>Horas de sol</t>
  </si>
  <si>
    <t>Eh</t>
  </si>
  <si>
    <t>Hs</t>
  </si>
  <si>
    <t>Irradiancia</t>
  </si>
  <si>
    <t xml:space="preserve">I </t>
  </si>
  <si>
    <t>Temperatura ambiente</t>
  </si>
  <si>
    <t>Qs</t>
  </si>
  <si>
    <t>Rendimiento del captador seleccionado</t>
  </si>
  <si>
    <t>kWh/dia</t>
  </si>
  <si>
    <t>E</t>
  </si>
  <si>
    <t>Energía incide sobre un metro cuadrado superficie horizontal en un dia promedio de cada mes</t>
  </si>
  <si>
    <t>Factor de corrección</t>
  </si>
  <si>
    <t xml:space="preserve"> K</t>
  </si>
  <si>
    <t>η</t>
  </si>
  <si>
    <t>Orientación</t>
  </si>
  <si>
    <t>φ</t>
  </si>
  <si>
    <t>α</t>
  </si>
  <si>
    <t>β</t>
  </si>
  <si>
    <t>º</t>
  </si>
  <si>
    <t>Energía térmica anual necesaria (a 60 ºC)</t>
  </si>
  <si>
    <t>kWh/año</t>
  </si>
  <si>
    <t>Aportación mínima con renovable</t>
  </si>
  <si>
    <t>S</t>
  </si>
  <si>
    <t>Separación entre captadores</t>
  </si>
  <si>
    <t>d</t>
  </si>
  <si>
    <t>m</t>
  </si>
  <si>
    <t>Coeficiente adimensional</t>
  </si>
  <si>
    <t>c</t>
  </si>
  <si>
    <t xml:space="preserve"> -</t>
  </si>
  <si>
    <t>Altura</t>
  </si>
  <si>
    <t>h</t>
  </si>
  <si>
    <t>Intercambiador de placas</t>
  </si>
  <si>
    <t>W</t>
  </si>
  <si>
    <t>P</t>
  </si>
  <si>
    <t>Potencia mínima del intercambiador</t>
  </si>
  <si>
    <t>Intercambiador-acumulador</t>
  </si>
  <si>
    <t>SI</t>
  </si>
  <si>
    <t>Vmin</t>
  </si>
  <si>
    <t>Volumen mínimo</t>
  </si>
  <si>
    <t>l</t>
  </si>
  <si>
    <t>Volumen máximo</t>
  </si>
  <si>
    <t>Vmax</t>
  </si>
  <si>
    <t>Volumen seleccionado</t>
  </si>
  <si>
    <t>V</t>
  </si>
  <si>
    <t>Volumen de agua de la instalación (captadores + canalización)</t>
  </si>
  <si>
    <t>Coeficiente de expansión del agua</t>
  </si>
  <si>
    <t>Ce</t>
  </si>
  <si>
    <t>Coeficiente de presión</t>
  </si>
  <si>
    <t>Cp</t>
  </si>
  <si>
    <t>Presión mínima del vaso</t>
  </si>
  <si>
    <t>Presión máxima del vaso</t>
  </si>
  <si>
    <t>Volumen del vaso de expansión</t>
  </si>
  <si>
    <t>Viviendas</t>
  </si>
  <si>
    <t>Dormitorios por vivienda</t>
  </si>
  <si>
    <t>Número de personas</t>
  </si>
  <si>
    <t>Factor de centralización</t>
  </si>
  <si>
    <t>k1</t>
  </si>
  <si>
    <t>η0</t>
  </si>
  <si>
    <t>Temperatura de ACS</t>
  </si>
  <si>
    <t>Temperatura ACS</t>
  </si>
  <si>
    <t>W/m²K</t>
  </si>
  <si>
    <t>W/m²</t>
  </si>
  <si>
    <t>kWh/(m²dia)</t>
  </si>
  <si>
    <t>MJ/(m²dia)</t>
  </si>
  <si>
    <t>m²</t>
  </si>
  <si>
    <t>Superficie de captación (apertura)</t>
  </si>
  <si>
    <t>Superficie de apertura del captador seleccionado</t>
  </si>
  <si>
    <t>Número de colectores necesarios</t>
  </si>
  <si>
    <t>Demanda diaria ACS</t>
  </si>
  <si>
    <t>l/d</t>
  </si>
  <si>
    <t>Demanda mensual ACS</t>
  </si>
  <si>
    <t>l/m</t>
  </si>
  <si>
    <t>Temperatura agua fría</t>
  </si>
  <si>
    <t>Diferencia temperatura</t>
  </si>
  <si>
    <t>Demanda de energía</t>
  </si>
  <si>
    <t>Anual</t>
  </si>
  <si>
    <t>Unidad</t>
  </si>
  <si>
    <t>Variable</t>
  </si>
  <si>
    <t>Valor</t>
  </si>
  <si>
    <t>Número de días por mes</t>
  </si>
  <si>
    <t>d/m</t>
  </si>
  <si>
    <t>Demanda de energía ACS</t>
  </si>
  <si>
    <t>Demanda de ACS</t>
  </si>
  <si>
    <t>Tipo de edificio</t>
  </si>
  <si>
    <t>Hospitales y clínicas</t>
  </si>
  <si>
    <t>Ambulatorio y centro de salud</t>
  </si>
  <si>
    <t>Hotel 5 estrellas</t>
  </si>
  <si>
    <t>Hotel 4 estrellas</t>
  </si>
  <si>
    <t>Hotel 3 estrellas</t>
  </si>
  <si>
    <t>Hotel 2 estrellas</t>
  </si>
  <si>
    <t>Hotel 1 estrella</t>
  </si>
  <si>
    <t>Hostal 2 estrellas</t>
  </si>
  <si>
    <t>Hostal 1 estrella</t>
  </si>
  <si>
    <t>Pensión</t>
  </si>
  <si>
    <t>Centro penitenciario</t>
  </si>
  <si>
    <t>Albergue</t>
  </si>
  <si>
    <t>Vestuarios</t>
  </si>
  <si>
    <t>Duchas colectivas</t>
  </si>
  <si>
    <t>Escuela sin ducha</t>
  </si>
  <si>
    <t>Escuela con ducha</t>
  </si>
  <si>
    <t>Cuarteles</t>
  </si>
  <si>
    <t>Fábricas y talleres</t>
  </si>
  <si>
    <t>Oficinas</t>
  </si>
  <si>
    <t>Gimnasios</t>
  </si>
  <si>
    <t>Restaurantes</t>
  </si>
  <si>
    <t>Cafeterías</t>
  </si>
  <si>
    <t>Residencial privado</t>
  </si>
  <si>
    <t>l/(dpersona)</t>
  </si>
  <si>
    <t>Datos de ubicación</t>
  </si>
  <si>
    <t>Temperaturas ambiente media durante las horas de sol, en ºC.</t>
  </si>
  <si>
    <t>Temperaturas diaria media mensual de agua fría (ºC)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</si>
  <si>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</si>
  <si>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</si>
  <si>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</si>
  <si>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</si>
  <si>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</si>
  <si>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</si>
  <si>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</si>
  <si>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</si>
  <si>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</si>
  <si>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</si>
  <si>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</si>
  <si>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</si>
  <si>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</si>
  <si>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>ALAVA</t>
  </si>
  <si>
    <t>ALBACETE</t>
  </si>
  <si>
    <t>ALICANTE</t>
  </si>
  <si>
    <t>ALMERIA</t>
  </si>
  <si>
    <t>ASTURIAS</t>
  </si>
  <si>
    <t>AVILA</t>
  </si>
  <si>
    <t>BADAJOZ</t>
  </si>
  <si>
    <t>BALEARES</t>
  </si>
  <si>
    <t>BARCELONA</t>
  </si>
  <si>
    <t>BURGOS</t>
  </si>
  <si>
    <t>CACERES</t>
  </si>
  <si>
    <t>CADIZ</t>
  </si>
  <si>
    <t>CANTABRIA</t>
  </si>
  <si>
    <t>CASTELLON</t>
  </si>
  <si>
    <t>CEUTA</t>
  </si>
  <si>
    <t>CIUDAD REAL</t>
  </si>
  <si>
    <t>CORDOBA</t>
  </si>
  <si>
    <t>LA CORUÑA</t>
  </si>
  <si>
    <t>CUENCA</t>
  </si>
  <si>
    <t>GERONA</t>
  </si>
  <si>
    <t>GRANADA</t>
  </si>
  <si>
    <t>GUADALAJARA</t>
  </si>
  <si>
    <t>GUIPUZCOA</t>
  </si>
  <si>
    <t>HUELVA</t>
  </si>
  <si>
    <t>HUESCA</t>
  </si>
  <si>
    <t>JAEN</t>
  </si>
  <si>
    <t>LEON</t>
  </si>
  <si>
    <t>LERIDA</t>
  </si>
  <si>
    <t>LUGO</t>
  </si>
  <si>
    <t>MADRID</t>
  </si>
  <si>
    <t>MALAGA</t>
  </si>
  <si>
    <t>MELILLA</t>
  </si>
  <si>
    <t>MURCIA</t>
  </si>
  <si>
    <t>NAVARRA</t>
  </si>
  <si>
    <t>ORENSE</t>
  </si>
  <si>
    <t>PALENCIA</t>
  </si>
  <si>
    <t>LAS PALMAS</t>
  </si>
  <si>
    <t>PONTEVEDRA</t>
  </si>
  <si>
    <t>LA RIOJA</t>
  </si>
  <si>
    <t>SALAMANCA</t>
  </si>
  <si>
    <t>STA. 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</si>
  <si>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</si>
  <si>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</si>
  <si>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</si>
  <si>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</si>
  <si>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</si>
  <si>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</si>
  <si>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</si>
  <si>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</si>
  <si>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</si>
  <si>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</si>
  <si>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</si>
  <si>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Orden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</si>
  <si>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</si>
  <si>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</si>
  <si>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</si>
  <si>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</si>
  <si>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</si>
  <si>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</si>
  <si>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</si>
  <si>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</si>
  <si>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</si>
  <si>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</si>
  <si>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</si>
  <si>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</si>
  <si>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Inclinación</t>
  </si>
  <si>
    <t>LATITUD: 28º</t>
  </si>
  <si>
    <t>LATITUD: 29º</t>
  </si>
  <si>
    <t>LATITUD: 34º</t>
  </si>
  <si>
    <t>LATITUD: 35º</t>
  </si>
  <si>
    <t>LATITUD: 36º</t>
  </si>
  <si>
    <t>LATITUD: 37º</t>
  </si>
  <si>
    <t>LATITUD: 38º</t>
  </si>
  <si>
    <t>LATITUD: 39º</t>
  </si>
  <si>
    <t>LATITUD: 40º</t>
  </si>
  <si>
    <t>LATITUD: 41º</t>
  </si>
  <si>
    <t>LATITUD: 42º</t>
  </si>
  <si>
    <t>LATITUD: 43º</t>
  </si>
  <si>
    <t>Provincia</t>
  </si>
  <si>
    <t>Altitud (m) (de la capital)</t>
  </si>
  <si>
    <t>Latitud (de la capital)</t>
  </si>
  <si>
    <t>Longitud (de la capital)</t>
  </si>
  <si>
    <t>2.7 W</t>
  </si>
  <si>
    <t>1.8 W</t>
  </si>
  <si>
    <t>0.5 W</t>
  </si>
  <si>
    <t>2.4 W</t>
  </si>
  <si>
    <t>5.8 W</t>
  </si>
  <si>
    <t>4.9 W</t>
  </si>
  <si>
    <t>7.0 W</t>
  </si>
  <si>
    <t>2.6 E</t>
  </si>
  <si>
    <t>2.2 E</t>
  </si>
  <si>
    <t>3.7 W</t>
  </si>
  <si>
    <t>6.4 W</t>
  </si>
  <si>
    <t>6.3 W</t>
  </si>
  <si>
    <t>3.8 W</t>
  </si>
  <si>
    <t>5.3 W</t>
  </si>
  <si>
    <t>3.9 W</t>
  </si>
  <si>
    <t>4.8 W</t>
  </si>
  <si>
    <t>8.4 W</t>
  </si>
  <si>
    <t>2.1 W</t>
  </si>
  <si>
    <t>2.7 E</t>
  </si>
  <si>
    <t>3.2 W</t>
  </si>
  <si>
    <t>2.0 W</t>
  </si>
  <si>
    <t>6.9 W</t>
  </si>
  <si>
    <t>0.4 W</t>
  </si>
  <si>
    <t>5.6 W</t>
  </si>
  <si>
    <t>1.2 E</t>
  </si>
  <si>
    <t>7.6 W</t>
  </si>
  <si>
    <t>4.4 W</t>
  </si>
  <si>
    <t>3.0 W</t>
  </si>
  <si>
    <t>1.1 W</t>
  </si>
  <si>
    <t>1.6 W</t>
  </si>
  <si>
    <t>7.8 W</t>
  </si>
  <si>
    <t>4.5 W</t>
  </si>
  <si>
    <t>15.4 W</t>
  </si>
  <si>
    <t>8.6 W</t>
  </si>
  <si>
    <t>16.2 W</t>
  </si>
  <si>
    <t>4.1 W</t>
  </si>
  <si>
    <t>6.0 W</t>
  </si>
  <si>
    <t>2.5 W</t>
  </si>
  <si>
    <t>4.0 W</t>
  </si>
  <si>
    <t>4.7 W</t>
  </si>
  <si>
    <t>5.7 W</t>
  </si>
  <si>
    <t>0.9 W</t>
  </si>
  <si>
    <t>Temperatura mínima histórica</t>
  </si>
  <si>
    <t>Altitud (de la capital)</t>
  </si>
  <si>
    <t>Simbolo</t>
  </si>
  <si>
    <t>Captador seleccionado</t>
  </si>
  <si>
    <t>Rendimiento óptico del captador</t>
  </si>
  <si>
    <t>Coeficiente de perdidas de rendimiento del captador</t>
  </si>
  <si>
    <t>Área de apertura</t>
  </si>
  <si>
    <t>Energía unitaria aprovechada por 1 m² de área de apertura</t>
  </si>
  <si>
    <t>Determinación del número de captadores necesarios</t>
  </si>
  <si>
    <t>Determinación de la captación para 1 m²</t>
  </si>
  <si>
    <t>Superficie útil de intercambio</t>
  </si>
  <si>
    <t>Modelo de captador</t>
  </si>
  <si>
    <t>Modelo</t>
  </si>
  <si>
    <t>Area apertura</t>
  </si>
  <si>
    <t>Area total</t>
  </si>
  <si>
    <t>Sapertura</t>
  </si>
  <si>
    <t>Marca</t>
  </si>
  <si>
    <t>Salvador Escoda</t>
  </si>
  <si>
    <t>Precio</t>
  </si>
  <si>
    <t>ESCOSOL FMAX 2.0 selectivo</t>
  </si>
  <si>
    <t>ESCOSOL FMAX 2.4 selectivo</t>
  </si>
  <si>
    <t>ESCOSOL  SOL 2800 XBA 2.8 m2</t>
  </si>
  <si>
    <t>ESCOSOL SOL 2800 selectivo</t>
  </si>
  <si>
    <t>ESCOSOL SOL 2800 H selectivo</t>
  </si>
  <si>
    <t>Ejemplo</t>
  </si>
  <si>
    <t>Modelo de ejemplo</t>
  </si>
  <si>
    <t>Área total</t>
  </si>
  <si>
    <t>Satot</t>
  </si>
  <si>
    <t>Vaso de expanción cerrado (UNE 100155:2004)</t>
  </si>
  <si>
    <t>Acumuladores (CTE)</t>
  </si>
  <si>
    <t>Contenido total de agua del circuito</t>
  </si>
  <si>
    <t>Longitud tuberías</t>
  </si>
  <si>
    <t>Diametro interior tuberías</t>
  </si>
  <si>
    <t>mm</t>
  </si>
  <si>
    <t>Contenido de agua en tuberías</t>
  </si>
  <si>
    <t>Volumen unitario en tuberías</t>
  </si>
  <si>
    <t>Número de captadores</t>
  </si>
  <si>
    <t>l/ud</t>
  </si>
  <si>
    <t>ud</t>
  </si>
  <si>
    <t>Capacidad unitaria volumétrica del captador</t>
  </si>
  <si>
    <t>Contenido de agua en captadores</t>
  </si>
  <si>
    <t>Expresión válida en temperaturas de entre 30 y 120 ºC</t>
  </si>
  <si>
    <t>Consideramos por defecto una capacidad de 1.4 l/ud (en datos de fabricante puede especificar un valor para el modelo de captador)</t>
  </si>
  <si>
    <t>Un diamtero promedio de la instalación</t>
  </si>
  <si>
    <t>Se determina en relación al diámetro interior de la tubería</t>
  </si>
  <si>
    <t>PM</t>
  </si>
  <si>
    <t>Pm</t>
  </si>
  <si>
    <t>bar</t>
  </si>
  <si>
    <t>Vt</t>
  </si>
  <si>
    <t>A seleccionar</t>
  </si>
  <si>
    <t>Valores orientativos</t>
  </si>
  <si>
    <t>Obtenido tablas CENSOLAR</t>
  </si>
  <si>
    <t>Obtenido CTE</t>
  </si>
  <si>
    <t>Q</t>
  </si>
  <si>
    <t>Taguafria</t>
  </si>
  <si>
    <t>D</t>
  </si>
  <si>
    <t>COINTRA</t>
  </si>
  <si>
    <t>ICARO 2.0 VF</t>
  </si>
  <si>
    <t>Datos previos</t>
  </si>
  <si>
    <t>TOTAL</t>
  </si>
  <si>
    <t>Fracción cubierta por la bomba de calor</t>
  </si>
  <si>
    <t>Mes</t>
  </si>
  <si>
    <t>Días</t>
  </si>
  <si>
    <t>Total (kWh/año)</t>
  </si>
  <si>
    <t>Consumo de energía primaria y emisiones de CO2 del SISTEMA PROYECTADO</t>
  </si>
  <si>
    <t>Sistema</t>
  </si>
  <si>
    <t>Porcentaje de demanda</t>
  </si>
  <si>
    <t>Demanda (kWh/año)</t>
  </si>
  <si>
    <t>Rendimiento estacional</t>
  </si>
  <si>
    <t>Consumo (kWh/año)</t>
  </si>
  <si>
    <t>Factor de paso e. primaria (kWh/kWh)</t>
  </si>
  <si>
    <t>Factor de paso a CO2 (kg/kWh)</t>
  </si>
  <si>
    <t>Emisiones CO2 (kg/año)</t>
  </si>
  <si>
    <t>Bomba de calor</t>
  </si>
  <si>
    <t>Criterio</t>
  </si>
  <si>
    <t>S. Referencia</t>
  </si>
  <si>
    <t>S. Proyectado</t>
  </si>
  <si>
    <t>Cumple</t>
  </si>
  <si>
    <t>SCOP (SPF)</t>
  </si>
  <si>
    <t>&lt;</t>
  </si>
  <si>
    <t>Eres (kWh/año)</t>
  </si>
  <si>
    <t>-</t>
  </si>
  <si>
    <t>Eres (%)</t>
  </si>
  <si>
    <t>Tª ACS (bomba de calor)</t>
  </si>
  <si>
    <t>Sistema complementario</t>
  </si>
  <si>
    <t>Combustible del sistema complementario</t>
  </si>
  <si>
    <t>Gasóleo calefacción</t>
  </si>
  <si>
    <t>GLP</t>
  </si>
  <si>
    <t>Gas natural</t>
  </si>
  <si>
    <t>Biomasa no densificada</t>
  </si>
  <si>
    <t>Biomasa densificada (pelets)</t>
  </si>
  <si>
    <t>Criterio de demanda por sistema</t>
  </si>
  <si>
    <t>Tª ACS (sistema complementario)
(si se dispone)</t>
  </si>
  <si>
    <t>Rendimiento del sistema (η)</t>
  </si>
  <si>
    <t>Demanda ACS
litros/día</t>
  </si>
  <si>
    <t>Demanda ACS
litros/mes</t>
  </si>
  <si>
    <t>Tª ACS
ºC</t>
  </si>
  <si>
    <t>Demanda
kWh/mes</t>
  </si>
  <si>
    <t>Fracción cubierta por sistema complementario</t>
  </si>
  <si>
    <t>Bomba de calor (SCOP)</t>
  </si>
  <si>
    <t>m2</t>
  </si>
  <si>
    <t>Superficie construida del edificio (S)</t>
  </si>
  <si>
    <t>Superficie de cubierta no transitable o accesible
únicamente para conservación (Sc)</t>
  </si>
  <si>
    <t>Superficie de cubierta no transitable o accesible
únicamente para conservación ocupada por
captadores solares térmicos (Soc)</t>
  </si>
  <si>
    <t>Potencia a instalar (P1)</t>
  </si>
  <si>
    <t>kW</t>
  </si>
  <si>
    <t>Potencia a instalar (P2)</t>
  </si>
  <si>
    <t>Potencia a instalar mínima (P)</t>
  </si>
  <si>
    <t>Factor de producción eléctrica</t>
  </si>
  <si>
    <t>kW/m2</t>
  </si>
  <si>
    <t>Potencia a instalar (P)</t>
  </si>
  <si>
    <t>A elección conforme el criterio del técnico</t>
  </si>
  <si>
    <t>Modelo de panel FV</t>
  </si>
  <si>
    <t>Modelo seleccionado</t>
  </si>
  <si>
    <t>Dimensiones</t>
  </si>
  <si>
    <t>Peso</t>
  </si>
  <si>
    <t>Potencia nominal</t>
  </si>
  <si>
    <t>Tensión circuito abierto (Voc)</t>
  </si>
  <si>
    <t>Intensidad de cortocircuito (Icc)</t>
  </si>
  <si>
    <t>Tensión punto de máxima potencia (VMPP)</t>
  </si>
  <si>
    <t>Temperatura operación nominal (TONC)</t>
  </si>
  <si>
    <t>Intensidad de punto de máxima potencia (IMPP)</t>
  </si>
  <si>
    <t>%/ºC</t>
  </si>
  <si>
    <t>A</t>
  </si>
  <si>
    <t>Wp</t>
  </si>
  <si>
    <t>kg</t>
  </si>
  <si>
    <t>YINGLI SOLAR</t>
  </si>
  <si>
    <t>YINGLI YL310 – 35b</t>
  </si>
  <si>
    <t>2,000 x 0,992 x 0,040 m</t>
  </si>
  <si>
    <t>Coeficiente de temperatura de Voc,β</t>
  </si>
  <si>
    <t>Coeficiente de temperatura de Icc,α</t>
  </si>
  <si>
    <t>Número de modulos FV</t>
  </si>
  <si>
    <t>Inclinación óptima estimada</t>
  </si>
  <si>
    <t>Datos de la localización</t>
  </si>
  <si>
    <t>kWh/m2</t>
  </si>
  <si>
    <t>I</t>
  </si>
  <si>
    <t>Irradiancia solar promedio mensual</t>
  </si>
  <si>
    <t>Usar herramienta PVGIS (PVGIS-SARAH). Determinar para el ángulo de inclinación planteado</t>
  </si>
  <si>
    <t>Inclinación del panel</t>
  </si>
  <si>
    <t>Irradiancia solar promedio diaria</t>
  </si>
  <si>
    <t>Temperatura máxima y mínima de los módulos FV</t>
  </si>
  <si>
    <t>Temperatura máxima de los módulos FV</t>
  </si>
  <si>
    <t>Temperatura mínima de los módulos FV</t>
  </si>
  <si>
    <t>Temperatura máxima del aire en la localización</t>
  </si>
  <si>
    <t>Temperatura mínima del aire en la localización</t>
  </si>
  <si>
    <t>Número máximo de módulos en serie</t>
  </si>
  <si>
    <t>Donde 𝑉𝑀𝑃𝑃(𝑇) es la tensión del punto de máxima potencia del modulo (V), y Δ𝑉𝑈𝑜𝑐 es el coeficiente de temperatura de tensión a circuito abierto (%/ºC).</t>
  </si>
  <si>
    <t>Tensión del punto de máxima potencia del modulo (VMPP(T))</t>
  </si>
  <si>
    <t>Coeficiente de temperatura de tensión a circuito abierto (ΔVMPP)</t>
  </si>
  <si>
    <t>Tensión a circuito abierto en condiciones estándar (Voc(T))</t>
  </si>
  <si>
    <t>Cociente 1</t>
  </si>
  <si>
    <t>Cociente 2</t>
  </si>
  <si>
    <t>Modelo de inversor</t>
  </si>
  <si>
    <t>DUAL INGECON® SUN 1000TL B360</t>
  </si>
  <si>
    <t>Tensión CC máxima de entrada</t>
  </si>
  <si>
    <t>Intensidad CC máxima de entrada</t>
  </si>
  <si>
    <t>Rango tensión CC máxima potencia</t>
  </si>
  <si>
    <t>Mínimo del cociente 1 y 2</t>
  </si>
  <si>
    <t>Número de filas</t>
  </si>
  <si>
    <t>DUAL INGECON</t>
  </si>
  <si>
    <t>Número máximo de cadenas en paralelo</t>
  </si>
  <si>
    <t>Intensidad de cortocircuito a la temperatura máxima del  (Icc(t)</t>
  </si>
  <si>
    <t>Número máximo de módulos para las cadenas</t>
  </si>
  <si>
    <t>Altura (h)</t>
  </si>
  <si>
    <t xml:space="preserve">Coeficiente adimensional (c) </t>
  </si>
  <si>
    <t>Separación entre modulos (d)</t>
  </si>
  <si>
    <t xml:space="preserve"> &gt;&gt;&gt;&gt;&gt;&gt;&gt;&gt;&gt;&gt;</t>
  </si>
  <si>
    <t xml:space="preserve"> ºC</t>
  </si>
  <si>
    <t>INSTALACIONES I</t>
  </si>
  <si>
    <t>Prof. David Bienvenido Huertas</t>
  </si>
  <si>
    <t>Prof. Emilio Gómez Cobos</t>
  </si>
  <si>
    <t>Depende del colector (se dispone de un valor por defecto de 0,9)</t>
  </si>
  <si>
    <t xml:space="preserve"> &gt;&gt;&gt;&gt;&gt;&gt;&gt;&gt;&gt;</t>
  </si>
  <si>
    <t>Comprobar previamente el ámbito de aplicación del DB HE-5</t>
  </si>
  <si>
    <t>DB HE-5: toma valor de 0,005 para uso residencial privado y 0,010 para el resto de usos</t>
  </si>
  <si>
    <t xml:space="preserve"> &gt;&gt;&gt;&gt;&gt;&gt;&gt;&gt;</t>
  </si>
  <si>
    <r>
      <t>Coeficiente de temperatura Voc,</t>
    </r>
    <r>
      <rPr>
        <sz val="10"/>
        <color theme="1"/>
        <rFont val="Calibri"/>
        <family val="2"/>
      </rPr>
      <t>β</t>
    </r>
  </si>
  <si>
    <r>
      <t>Coeficiente de temperatura de Icc,</t>
    </r>
    <r>
      <rPr>
        <sz val="10"/>
        <color theme="1"/>
        <rFont val="Calibri"/>
        <family val="2"/>
      </rPr>
      <t>α</t>
    </r>
  </si>
  <si>
    <r>
      <t>Coeficiente de temperatura de intensidad de cortocircuito   (</t>
    </r>
    <r>
      <rPr>
        <sz val="10"/>
        <rFont val="Calibri"/>
        <family val="2"/>
      </rPr>
      <t>∆</t>
    </r>
    <r>
      <rPr>
        <sz val="10"/>
        <rFont val="Arial"/>
        <family val="2"/>
      </rPr>
      <t>Iicc)</t>
    </r>
  </si>
  <si>
    <t xml:space="preserve"> Se considera una irradiancia estándar de 1000 W/m2 para la temperatura máxima</t>
  </si>
  <si>
    <t xml:space="preserve"> Se considera una irradiancia estándar de 100 W/m2 para la temperatura mínima</t>
  </si>
  <si>
    <t xml:space="preserve"> &gt;&gt;&gt;&gt;&gt;&gt;&gt;&gt;&gt;&gt;&gt;&gt;&gt;&gt;&gt;&gt;&gt;&gt;&gt;&gt;&gt;&gt;&gt;&gt;&gt;&gt;&gt;&gt;&gt;&gt;&gt;&gt;&gt;&gt;&gt;&gt;&gt;&gt;&gt;&gt;&gt;&gt;&gt;&gt;</t>
  </si>
  <si>
    <t>Número máximo de paneles</t>
  </si>
  <si>
    <t>Exigencia HE 5</t>
  </si>
  <si>
    <t>Tª AFCH
ºC</t>
  </si>
  <si>
    <t>Consumo     e. primaria (kWh/año)</t>
  </si>
  <si>
    <t>Factor de paso   e. primaria (kWh/kWh)</t>
  </si>
  <si>
    <t>Tensión CA de salida</t>
  </si>
  <si>
    <t>CUMPLIMIENTO CTE DB HE 4 y HE 5</t>
  </si>
  <si>
    <t>Energía en megajulios que incide sobre 1 m2 de superficie horizontal en un día medio de cada mes (Fuente: CENSOLAR)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</si>
</sst>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4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39997558519241921"/>
        <bgColor rgb="FFFFF2CC"/>
      </patternFill>
    </fill>
    <fill>
      <patternFill patternType="solid">
        <fgColor rgb="FFFFFAEB"/>
        <bgColor rgb="FFFFF2CC"/>
      </patternFill>
    </fill>
    <fill>
      <patternFill patternType="solid">
        <fgColor theme="2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8" tint="0.39997558519241921"/>
        <bgColor rgb="FFFFF2CC"/>
      </patternFill>
    </fill>
    <fill>
      <patternFill patternType="solid">
        <fgColor theme="7" tint="0.79998168889431442"/>
        <bgColor rgb="FFFFF2CC"/>
      </patternFill>
    </fill>
  </fills>
  <borders count="50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indexed="8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indexed="8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indexed="8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rgb="FF666666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0" fontId="0" fillId="8" borderId="0" xfId="0" applyFill="1"/>
    <xf numFmtId="0" fontId="8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8" fillId="8" borderId="0" xfId="0" applyFont="1" applyFill="1"/>
    <xf numFmtId="0" fontId="0" fillId="8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9" fillId="8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/>
    </xf>
    <xf numFmtId="0" fontId="11" fillId="8" borderId="0" xfId="0" applyFont="1" applyFill="1"/>
    <xf numFmtId="0" fontId="6" fillId="4" borderId="44" xfId="2" applyFont="1" applyFill="1" applyBorder="1" applyAlignment="1">
      <alignment horizontal="center" vertical="top" wrapText="1"/>
    </xf>
    <xf numFmtId="0" fontId="0" fillId="6" borderId="0" xfId="0" applyFill="1" applyProtection="1">
      <protection locked="0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6" borderId="10" xfId="0" applyFill="1" applyBorder="1" applyProtection="1">
      <protection locked="0"/>
    </xf>
    <xf numFmtId="1" fontId="0" fillId="6" borderId="0" xfId="0" applyNumberFormat="1" applyFill="1" applyProtection="1">
      <protection locked="0"/>
    </xf>
    <xf numFmtId="0" fontId="0" fillId="6" borderId="0" xfId="0" applyFill="1"/>
    <xf numFmtId="0" fontId="19" fillId="0" borderId="0" xfId="0" applyFont="1"/>
    <xf numFmtId="2" fontId="0" fillId="6" borderId="0" xfId="0" applyNumberFormat="1" applyFill="1" applyProtection="1">
      <protection locked="0"/>
    </xf>
    <xf numFmtId="0" fontId="9" fillId="8" borderId="16" xfId="0" applyFont="1" applyFill="1" applyBorder="1" applyAlignment="1" applyProtection="1">
      <alignment horizontal="center"/>
      <protection locked="0"/>
    </xf>
    <xf numFmtId="0" fontId="9" fillId="8" borderId="32" xfId="0" applyFont="1" applyFill="1" applyBorder="1" applyAlignment="1" applyProtection="1">
      <alignment horizontal="center"/>
      <protection locked="0"/>
    </xf>
    <xf numFmtId="0" fontId="5" fillId="2" borderId="7" xfId="2" applyFont="1" applyFill="1" applyBorder="1" applyAlignment="1" applyProtection="1">
      <alignment horizontal="center" vertical="top" wrapText="1"/>
      <protection locked="0"/>
    </xf>
    <xf numFmtId="0" fontId="3" fillId="6" borderId="0" xfId="0" applyFont="1" applyFill="1" applyProtection="1">
      <protection locked="0"/>
    </xf>
    <xf numFmtId="0" fontId="5" fillId="2" borderId="40" xfId="2" applyFont="1" applyFill="1" applyBorder="1" applyAlignment="1" applyProtection="1">
      <alignment horizontal="center" vertical="top" wrapText="1"/>
      <protection locked="0"/>
    </xf>
    <xf numFmtId="0" fontId="5" fillId="2" borderId="39" xfId="2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Protection="1"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14" fillId="6" borderId="0" xfId="0" applyFont="1" applyFill="1" applyProtection="1">
      <protection locked="0"/>
    </xf>
    <xf numFmtId="0" fontId="15" fillId="6" borderId="0" xfId="0" applyFont="1" applyFill="1" applyProtection="1">
      <protection locked="0"/>
    </xf>
    <xf numFmtId="1" fontId="7" fillId="5" borderId="7" xfId="2" applyNumberFormat="1" applyFont="1" applyFill="1" applyBorder="1" applyAlignment="1" applyProtection="1">
      <alignment horizontal="center" vertical="top" wrapText="1"/>
      <protection locked="0"/>
    </xf>
    <xf numFmtId="2" fontId="7" fillId="5" borderId="7" xfId="2" applyNumberFormat="1" applyFont="1" applyFill="1" applyBorder="1" applyAlignment="1" applyProtection="1">
      <alignment horizontal="center" vertical="top" wrapText="1"/>
      <protection locked="0"/>
    </xf>
    <xf numFmtId="9" fontId="13" fillId="6" borderId="0" xfId="0" applyNumberFormat="1" applyFont="1" applyFill="1" applyProtection="1">
      <protection locked="0"/>
    </xf>
    <xf numFmtId="0" fontId="13" fillId="6" borderId="0" xfId="0" applyFont="1" applyFill="1"/>
    <xf numFmtId="0" fontId="7" fillId="4" borderId="7" xfId="2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top" wrapText="1"/>
    </xf>
    <xf numFmtId="0" fontId="7" fillId="4" borderId="7" xfId="2" applyFont="1" applyFill="1" applyBorder="1" applyAlignment="1">
      <alignment horizontal="center" vertical="top" wrapText="1"/>
    </xf>
    <xf numFmtId="166" fontId="7" fillId="5" borderId="7" xfId="2" applyNumberFormat="1" applyFont="1" applyFill="1" applyBorder="1" applyAlignment="1">
      <alignment horizontal="center" vertical="center" wrapText="1"/>
    </xf>
    <xf numFmtId="4" fontId="7" fillId="5" borderId="7" xfId="2" applyNumberFormat="1" applyFont="1" applyFill="1" applyBorder="1" applyAlignment="1" applyProtection="1">
      <alignment horizontal="center" vertical="top" wrapText="1"/>
      <protection locked="0"/>
    </xf>
    <xf numFmtId="1" fontId="7" fillId="5" borderId="7" xfId="2" applyNumberFormat="1" applyFont="1" applyFill="1" applyBorder="1" applyAlignment="1">
      <alignment horizontal="center" vertical="top" wrapText="1"/>
    </xf>
    <xf numFmtId="4" fontId="7" fillId="5" borderId="7" xfId="2" applyNumberFormat="1" applyFont="1" applyFill="1" applyBorder="1" applyAlignment="1">
      <alignment horizontal="center" vertical="top" wrapText="1"/>
    </xf>
    <xf numFmtId="2" fontId="7" fillId="5" borderId="7" xfId="2" applyNumberFormat="1" applyFont="1" applyFill="1" applyBorder="1" applyAlignment="1">
      <alignment horizontal="center" vertical="top" wrapText="1"/>
    </xf>
    <xf numFmtId="166" fontId="7" fillId="5" borderId="7" xfId="2" applyNumberFormat="1" applyFont="1" applyFill="1" applyBorder="1" applyAlignment="1">
      <alignment horizontal="center" vertical="top" wrapText="1"/>
    </xf>
    <xf numFmtId="165" fontId="7" fillId="5" borderId="7" xfId="2" applyNumberFormat="1" applyFont="1" applyFill="1" applyBorder="1" applyAlignment="1">
      <alignment horizontal="center" vertical="top" wrapText="1"/>
    </xf>
    <xf numFmtId="164" fontId="7" fillId="5" borderId="7" xfId="2" applyNumberFormat="1" applyFont="1" applyFill="1" applyBorder="1" applyAlignment="1">
      <alignment horizontal="center" vertical="top" wrapText="1"/>
    </xf>
    <xf numFmtId="1" fontId="16" fillId="5" borderId="7" xfId="2" applyNumberFormat="1" applyFont="1" applyFill="1" applyBorder="1" applyAlignment="1">
      <alignment horizontal="center" vertical="top" wrapText="1"/>
    </xf>
    <xf numFmtId="165" fontId="13" fillId="6" borderId="7" xfId="0" applyNumberFormat="1" applyFont="1" applyFill="1" applyBorder="1" applyAlignment="1" applyProtection="1">
      <alignment horizontal="center" vertical="center"/>
      <protection locked="0"/>
    </xf>
    <xf numFmtId="165" fontId="7" fillId="5" borderId="7" xfId="2" applyNumberFormat="1" applyFont="1" applyFill="1" applyBorder="1" applyAlignment="1">
      <alignment horizontal="center" vertical="center" wrapText="1"/>
    </xf>
    <xf numFmtId="165" fontId="13" fillId="6" borderId="7" xfId="0" applyNumberFormat="1" applyFont="1" applyFill="1" applyBorder="1" applyAlignment="1">
      <alignment horizontal="center" vertical="center"/>
    </xf>
    <xf numFmtId="4" fontId="13" fillId="6" borderId="7" xfId="0" applyNumberFormat="1" applyFont="1" applyFill="1" applyBorder="1" applyAlignment="1" applyProtection="1">
      <alignment horizontal="center" vertical="center"/>
      <protection locked="0"/>
    </xf>
    <xf numFmtId="2" fontId="14" fillId="6" borderId="7" xfId="0" applyNumberFormat="1" applyFont="1" applyFill="1" applyBorder="1" applyAlignment="1" applyProtection="1">
      <alignment horizontal="center"/>
      <protection locked="0"/>
    </xf>
    <xf numFmtId="0" fontId="7" fillId="4" borderId="39" xfId="2" applyFont="1" applyFill="1" applyBorder="1" applyAlignment="1">
      <alignment vertical="top"/>
    </xf>
    <xf numFmtId="0" fontId="7" fillId="4" borderId="7" xfId="2" applyFont="1" applyFill="1" applyBorder="1" applyAlignment="1">
      <alignment vertical="top"/>
    </xf>
    <xf numFmtId="0" fontId="7" fillId="4" borderId="44" xfId="2" applyFont="1" applyFill="1" applyBorder="1" applyAlignment="1">
      <alignment horizontal="center" vertical="top" wrapText="1"/>
    </xf>
    <xf numFmtId="2" fontId="7" fillId="5" borderId="7" xfId="2" applyNumberFormat="1" applyFont="1" applyFill="1" applyBorder="1" applyAlignment="1">
      <alignment horizontal="center" vertical="center" wrapText="1"/>
    </xf>
    <xf numFmtId="0" fontId="14" fillId="6" borderId="0" xfId="0" applyFont="1" applyFill="1"/>
    <xf numFmtId="0" fontId="7" fillId="4" borderId="45" xfId="2" applyFont="1" applyFill="1" applyBorder="1" applyAlignment="1">
      <alignment horizontal="center" vertical="top" wrapText="1"/>
    </xf>
    <xf numFmtId="165" fontId="13" fillId="6" borderId="0" xfId="0" applyNumberFormat="1" applyFont="1" applyFill="1" applyAlignment="1">
      <alignment horizontal="center" vertical="center"/>
    </xf>
    <xf numFmtId="0" fontId="7" fillId="7" borderId="0" xfId="2" applyFont="1" applyFill="1" applyAlignment="1">
      <alignment horizontal="center" vertical="center" wrapText="1"/>
    </xf>
    <xf numFmtId="0" fontId="7" fillId="7" borderId="0" xfId="2" applyFont="1" applyFill="1" applyAlignment="1">
      <alignment vertical="top"/>
    </xf>
    <xf numFmtId="0" fontId="7" fillId="7" borderId="0" xfId="2" applyFont="1" applyFill="1" applyAlignment="1">
      <alignment horizontal="center" vertical="top" wrapText="1"/>
    </xf>
    <xf numFmtId="2" fontId="7" fillId="7" borderId="0" xfId="2" applyNumberFormat="1" applyFont="1" applyFill="1" applyAlignment="1">
      <alignment horizontal="center" vertical="center" wrapText="1"/>
    </xf>
    <xf numFmtId="165" fontId="13" fillId="6" borderId="0" xfId="0" applyNumberFormat="1" applyFont="1" applyFill="1" applyAlignment="1" applyProtection="1">
      <alignment horizontal="center" vertical="center"/>
      <protection locked="0"/>
    </xf>
    <xf numFmtId="1" fontId="7" fillId="5" borderId="7" xfId="2" applyNumberFormat="1" applyFont="1" applyFill="1" applyBorder="1" applyAlignment="1" applyProtection="1">
      <alignment horizontal="left" vertical="top" wrapText="1"/>
      <protection locked="0"/>
    </xf>
    <xf numFmtId="1" fontId="7" fillId="5" borderId="7" xfId="2" applyNumberFormat="1" applyFont="1" applyFill="1" applyBorder="1" applyAlignment="1">
      <alignment horizontal="left" vertical="top" wrapText="1"/>
    </xf>
    <xf numFmtId="0" fontId="24" fillId="3" borderId="48" xfId="2" applyFont="1" applyFill="1" applyBorder="1" applyAlignment="1">
      <alignment vertical="top" wrapText="1"/>
    </xf>
    <xf numFmtId="0" fontId="25" fillId="2" borderId="7" xfId="2" applyFont="1" applyFill="1" applyBorder="1" applyAlignment="1">
      <alignment vertical="center" wrapText="1"/>
    </xf>
    <xf numFmtId="0" fontId="25" fillId="2" borderId="7" xfId="2" applyFont="1" applyFill="1" applyBorder="1" applyAlignment="1">
      <alignment horizontal="center" vertical="center" wrapText="1"/>
    </xf>
    <xf numFmtId="0" fontId="26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24" fillId="3" borderId="48" xfId="2" applyFont="1" applyFill="1" applyBorder="1" applyAlignment="1" applyProtection="1">
      <alignment vertical="top" wrapText="1"/>
      <protection locked="0"/>
    </xf>
    <xf numFmtId="0" fontId="25" fillId="2" borderId="2" xfId="2" applyFont="1" applyFill="1" applyBorder="1" applyAlignment="1">
      <alignment horizontal="center" vertical="top" wrapText="1"/>
    </xf>
    <xf numFmtId="0" fontId="25" fillId="2" borderId="1" xfId="2" applyFont="1" applyFill="1" applyBorder="1" applyAlignment="1">
      <alignment horizontal="center" vertical="top" wrapText="1"/>
    </xf>
    <xf numFmtId="0" fontId="25" fillId="2" borderId="3" xfId="2" applyFont="1" applyFill="1" applyBorder="1" applyAlignment="1">
      <alignment horizontal="center" vertical="top" wrapText="1"/>
    </xf>
    <xf numFmtId="0" fontId="25" fillId="10" borderId="1" xfId="2" applyFont="1" applyFill="1" applyBorder="1" applyAlignment="1">
      <alignment horizontal="center" vertical="top" wrapText="1"/>
    </xf>
    <xf numFmtId="0" fontId="24" fillId="3" borderId="7" xfId="2" applyFont="1" applyFill="1" applyBorder="1" applyAlignment="1">
      <alignment vertical="top" wrapText="1"/>
    </xf>
    <xf numFmtId="0" fontId="25" fillId="2" borderId="8" xfId="2" applyFont="1" applyFill="1" applyBorder="1" applyAlignment="1">
      <alignment vertical="center" wrapText="1"/>
    </xf>
    <xf numFmtId="0" fontId="25" fillId="2" borderId="7" xfId="2" applyFont="1" applyFill="1" applyBorder="1" applyAlignment="1">
      <alignment horizontal="center" vertical="top" wrapText="1"/>
    </xf>
    <xf numFmtId="0" fontId="25" fillId="2" borderId="40" xfId="2" applyFont="1" applyFill="1" applyBorder="1" applyAlignment="1">
      <alignment horizontal="center" vertical="top" wrapText="1"/>
    </xf>
    <xf numFmtId="0" fontId="25" fillId="2" borderId="39" xfId="2" applyFont="1" applyFill="1" applyBorder="1" applyAlignment="1">
      <alignment horizontal="center" vertical="top" wrapText="1"/>
    </xf>
    <xf numFmtId="0" fontId="25" fillId="2" borderId="7" xfId="2" applyFont="1" applyFill="1" applyBorder="1" applyAlignment="1">
      <alignment horizontal="left" vertical="center" wrapText="1"/>
    </xf>
    <xf numFmtId="0" fontId="7" fillId="4" borderId="7" xfId="2" applyFont="1" applyFill="1" applyBorder="1" applyAlignment="1">
      <alignment horizontal="left" vertical="center" wrapText="1"/>
    </xf>
    <xf numFmtId="0" fontId="13" fillId="6" borderId="7" xfId="0" applyFont="1" applyFill="1" applyBorder="1" applyAlignment="1" applyProtection="1">
      <alignment horizontal="left"/>
      <protection locked="0"/>
    </xf>
    <xf numFmtId="0" fontId="8" fillId="6" borderId="0" xfId="0" applyFont="1" applyFill="1" applyAlignment="1">
      <alignment horizontal="center"/>
    </xf>
    <xf numFmtId="0" fontId="25" fillId="2" borderId="7" xfId="2" applyFont="1" applyFill="1" applyBorder="1" applyAlignment="1">
      <alignment vertical="top" wrapText="1"/>
    </xf>
    <xf numFmtId="0" fontId="25" fillId="2" borderId="7" xfId="2" applyFont="1" applyFill="1" applyBorder="1" applyAlignment="1" applyProtection="1">
      <alignment horizontal="left" vertical="top" wrapText="1"/>
      <protection locked="0"/>
    </xf>
    <xf numFmtId="0" fontId="25" fillId="2" borderId="7" xfId="2" applyFont="1" applyFill="1" applyBorder="1" applyAlignment="1" applyProtection="1">
      <alignment horizontal="center" vertical="top" wrapText="1"/>
      <protection locked="0"/>
    </xf>
    <xf numFmtId="0" fontId="25" fillId="2" borderId="7" xfId="2" applyFont="1" applyFill="1" applyBorder="1" applyAlignment="1">
      <alignment horizontal="left" vertical="top" wrapText="1"/>
    </xf>
    <xf numFmtId="0" fontId="0" fillId="6" borderId="0" xfId="0" applyFill="1" applyAlignment="1" applyProtection="1">
      <alignment vertical="center"/>
      <protection locked="0"/>
    </xf>
    <xf numFmtId="0" fontId="12" fillId="4" borderId="44" xfId="2" applyFont="1" applyFill="1" applyBorder="1" applyAlignment="1">
      <alignment horizontal="center" vertical="top" wrapText="1"/>
    </xf>
    <xf numFmtId="4" fontId="12" fillId="5" borderId="7" xfId="2" applyNumberFormat="1" applyFont="1" applyFill="1" applyBorder="1" applyAlignment="1">
      <alignment horizontal="center" vertical="top" wrapText="1"/>
    </xf>
    <xf numFmtId="0" fontId="12" fillId="4" borderId="46" xfId="2" applyFont="1" applyFill="1" applyBorder="1" applyAlignment="1">
      <alignment horizontal="center" vertical="top" wrapText="1"/>
    </xf>
    <xf numFmtId="0" fontId="0" fillId="6" borderId="0" xfId="0" applyFill="1" applyAlignment="1">
      <alignment vertical="center"/>
    </xf>
    <xf numFmtId="0" fontId="7" fillId="4" borderId="14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top" wrapText="1"/>
    </xf>
    <xf numFmtId="9" fontId="7" fillId="5" borderId="1" xfId="1" applyFont="1" applyFill="1" applyBorder="1" applyAlignment="1" applyProtection="1">
      <alignment horizontal="center" vertical="center" wrapText="1"/>
    </xf>
    <xf numFmtId="1" fontId="7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wrapText="1"/>
    </xf>
    <xf numFmtId="3" fontId="7" fillId="5" borderId="1" xfId="2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Alignment="1">
      <alignment horizontal="center" vertical="center"/>
    </xf>
    <xf numFmtId="4" fontId="7" fillId="5" borderId="1" xfId="2" applyNumberFormat="1" applyFont="1" applyFill="1" applyBorder="1" applyAlignment="1">
      <alignment horizontal="center" vertical="center" wrapText="1"/>
    </xf>
    <xf numFmtId="2" fontId="7" fillId="5" borderId="41" xfId="2" applyNumberFormat="1" applyFont="1" applyFill="1" applyBorder="1" applyAlignment="1">
      <alignment horizontal="center" vertical="top" wrapText="1"/>
    </xf>
    <xf numFmtId="0" fontId="13" fillId="6" borderId="7" xfId="0" applyFont="1" applyFill="1" applyBorder="1" applyAlignment="1" applyProtection="1">
      <alignment horizontal="center"/>
      <protection locked="0"/>
    </xf>
    <xf numFmtId="2" fontId="7" fillId="5" borderId="43" xfId="2" applyNumberFormat="1" applyFont="1" applyFill="1" applyBorder="1" applyAlignment="1">
      <alignment horizontal="center" vertical="top" wrapText="1"/>
    </xf>
    <xf numFmtId="2" fontId="7" fillId="9" borderId="7" xfId="2" applyNumberFormat="1" applyFont="1" applyFill="1" applyBorder="1" applyAlignment="1">
      <alignment horizontal="center" vertical="top" wrapText="1"/>
    </xf>
    <xf numFmtId="165" fontId="7" fillId="9" borderId="7" xfId="2" applyNumberFormat="1" applyFont="1" applyFill="1" applyBorder="1" applyAlignment="1">
      <alignment horizontal="center" vertical="top" wrapText="1"/>
    </xf>
    <xf numFmtId="2" fontId="13" fillId="6" borderId="7" xfId="0" applyNumberFormat="1" applyFont="1" applyFill="1" applyBorder="1" applyAlignment="1" applyProtection="1">
      <alignment horizontal="center"/>
      <protection locked="0"/>
    </xf>
    <xf numFmtId="0" fontId="7" fillId="4" borderId="46" xfId="2" applyFont="1" applyFill="1" applyBorder="1" applyAlignment="1" applyProtection="1">
      <alignment horizontal="center" vertical="top" wrapText="1"/>
      <protection locked="0"/>
    </xf>
    <xf numFmtId="0" fontId="7" fillId="4" borderId="44" xfId="2" applyFont="1" applyFill="1" applyBorder="1" applyAlignment="1" applyProtection="1">
      <alignment horizontal="center" vertical="top" wrapText="1"/>
      <protection locked="0"/>
    </xf>
    <xf numFmtId="0" fontId="7" fillId="4" borderId="46" xfId="2" applyFont="1" applyFill="1" applyBorder="1" applyAlignment="1">
      <alignment horizontal="center" vertical="top" wrapText="1"/>
    </xf>
    <xf numFmtId="3" fontId="13" fillId="6" borderId="7" xfId="0" applyNumberFormat="1" applyFont="1" applyFill="1" applyBorder="1" applyAlignment="1" applyProtection="1">
      <alignment horizontal="center"/>
      <protection locked="0"/>
    </xf>
    <xf numFmtId="1" fontId="13" fillId="6" borderId="7" xfId="0" applyNumberFormat="1" applyFont="1" applyFill="1" applyBorder="1" applyAlignment="1" applyProtection="1">
      <alignment horizontal="center"/>
      <protection locked="0"/>
    </xf>
    <xf numFmtId="0" fontId="7" fillId="4" borderId="46" xfId="2" applyFont="1" applyFill="1" applyBorder="1" applyAlignment="1">
      <alignment horizontal="center" vertical="center" wrapText="1"/>
    </xf>
    <xf numFmtId="164" fontId="13" fillId="6" borderId="7" xfId="0" applyNumberFormat="1" applyFont="1" applyFill="1" applyBorder="1" applyAlignment="1" applyProtection="1">
      <alignment horizontal="center" vertical="center"/>
      <protection locked="0"/>
    </xf>
    <xf numFmtId="2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20" fillId="6" borderId="0" xfId="0" applyFont="1" applyFill="1"/>
    <xf numFmtId="0" fontId="21" fillId="6" borderId="0" xfId="0" applyFont="1" applyFill="1"/>
    <xf numFmtId="0" fontId="0" fillId="6" borderId="10" xfId="0" applyFill="1" applyBorder="1"/>
    <xf numFmtId="4" fontId="7" fillId="5" borderId="7" xfId="2" applyNumberFormat="1" applyFont="1" applyFill="1" applyBorder="1" applyAlignment="1">
      <alignment horizontal="center" vertical="center" wrapText="1"/>
    </xf>
    <xf numFmtId="3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7" fillId="5" borderId="7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4" borderId="2" xfId="2" applyFont="1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left" vertical="center" wrapText="1"/>
    </xf>
    <xf numFmtId="0" fontId="25" fillId="2" borderId="5" xfId="2" applyFont="1" applyFill="1" applyBorder="1" applyAlignment="1">
      <alignment horizontal="left" vertical="top" wrapText="1"/>
    </xf>
    <xf numFmtId="0" fontId="25" fillId="2" borderId="6" xfId="2" applyFont="1" applyFill="1" applyBorder="1" applyAlignment="1">
      <alignment horizontal="left" vertical="top" wrapText="1"/>
    </xf>
    <xf numFmtId="0" fontId="25" fillId="2" borderId="4" xfId="2" applyFont="1" applyFill="1" applyBorder="1" applyAlignment="1">
      <alignment horizontal="left" vertical="top" wrapText="1"/>
    </xf>
    <xf numFmtId="0" fontId="24" fillId="3" borderId="8" xfId="2" applyFont="1" applyFill="1" applyBorder="1" applyAlignment="1">
      <alignment horizontal="left" vertical="top" wrapText="1"/>
    </xf>
    <xf numFmtId="0" fontId="24" fillId="3" borderId="11" xfId="2" applyFont="1" applyFill="1" applyBorder="1" applyAlignment="1">
      <alignment horizontal="left" vertical="top" wrapText="1"/>
    </xf>
    <xf numFmtId="0" fontId="24" fillId="3" borderId="9" xfId="2" applyFont="1" applyFill="1" applyBorder="1" applyAlignment="1">
      <alignment horizontal="left" vertical="top" wrapText="1"/>
    </xf>
    <xf numFmtId="0" fontId="7" fillId="4" borderId="8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4" borderId="9" xfId="2" applyFont="1" applyFill="1" applyBorder="1" applyAlignment="1">
      <alignment horizontal="left" vertical="center" wrapText="1"/>
    </xf>
    <xf numFmtId="3" fontId="7" fillId="5" borderId="8" xfId="2" applyNumberFormat="1" applyFont="1" applyFill="1" applyBorder="1" applyAlignment="1">
      <alignment horizontal="center" vertical="center" wrapText="1"/>
    </xf>
    <xf numFmtId="3" fontId="7" fillId="5" borderId="11" xfId="2" applyNumberFormat="1" applyFont="1" applyFill="1" applyBorder="1" applyAlignment="1">
      <alignment horizontal="center" vertical="center" wrapText="1"/>
    </xf>
    <xf numFmtId="3" fontId="7" fillId="5" borderId="9" xfId="2" applyNumberFormat="1" applyFont="1" applyFill="1" applyBorder="1" applyAlignment="1">
      <alignment horizontal="center" vertical="center" wrapText="1"/>
    </xf>
    <xf numFmtId="1" fontId="7" fillId="7" borderId="8" xfId="2" applyNumberFormat="1" applyFont="1" applyFill="1" applyBorder="1" applyAlignment="1" applyProtection="1">
      <alignment horizontal="center" vertical="center" wrapText="1"/>
      <protection locked="0"/>
    </xf>
    <xf numFmtId="1" fontId="7" fillId="7" borderId="11" xfId="2" applyNumberFormat="1" applyFont="1" applyFill="1" applyBorder="1" applyAlignment="1" applyProtection="1">
      <alignment horizontal="center" vertical="center" wrapText="1"/>
      <protection locked="0"/>
    </xf>
    <xf numFmtId="1" fontId="7" fillId="7" borderId="9" xfId="2" applyNumberFormat="1" applyFont="1" applyFill="1" applyBorder="1" applyAlignment="1" applyProtection="1">
      <alignment horizontal="center" vertical="center" wrapText="1"/>
      <protection locked="0"/>
    </xf>
    <xf numFmtId="1" fontId="7" fillId="5" borderId="8" xfId="2" applyNumberFormat="1" applyFont="1" applyFill="1" applyBorder="1" applyAlignment="1">
      <alignment horizontal="center" vertical="center" wrapText="1"/>
    </xf>
    <xf numFmtId="1" fontId="7" fillId="5" borderId="11" xfId="2" applyNumberFormat="1" applyFont="1" applyFill="1" applyBorder="1" applyAlignment="1">
      <alignment horizontal="center" vertical="center" wrapText="1"/>
    </xf>
    <xf numFmtId="1" fontId="7" fillId="5" borderId="9" xfId="2" applyNumberFormat="1" applyFont="1" applyFill="1" applyBorder="1" applyAlignment="1">
      <alignment horizontal="center" vertical="center" wrapText="1"/>
    </xf>
    <xf numFmtId="2" fontId="7" fillId="5" borderId="8" xfId="2" applyNumberFormat="1" applyFont="1" applyFill="1" applyBorder="1" applyAlignment="1">
      <alignment horizontal="center" vertical="center" wrapText="1"/>
    </xf>
    <xf numFmtId="2" fontId="7" fillId="5" borderId="11" xfId="2" applyNumberFormat="1" applyFont="1" applyFill="1" applyBorder="1" applyAlignment="1">
      <alignment horizontal="center" vertical="center" wrapText="1"/>
    </xf>
    <xf numFmtId="2" fontId="7" fillId="5" borderId="9" xfId="2" applyNumberFormat="1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left" vertical="top" wrapText="1"/>
    </xf>
    <xf numFmtId="0" fontId="7" fillId="4" borderId="12" xfId="2" applyFont="1" applyFill="1" applyBorder="1" applyAlignment="1">
      <alignment horizontal="left" vertical="top" wrapText="1"/>
    </xf>
    <xf numFmtId="0" fontId="7" fillId="4" borderId="15" xfId="2" applyFont="1" applyFill="1" applyBorder="1" applyAlignment="1">
      <alignment horizontal="left" vertical="top" wrapText="1"/>
    </xf>
    <xf numFmtId="0" fontId="7" fillId="4" borderId="8" xfId="2" applyFont="1" applyFill="1" applyBorder="1" applyAlignment="1">
      <alignment horizontal="left" vertical="top" wrapText="1"/>
    </xf>
    <xf numFmtId="0" fontId="7" fillId="4" borderId="11" xfId="2" applyFont="1" applyFill="1" applyBorder="1" applyAlignment="1">
      <alignment horizontal="left" vertical="top" wrapText="1"/>
    </xf>
    <xf numFmtId="0" fontId="7" fillId="4" borderId="9" xfId="2" applyFont="1" applyFill="1" applyBorder="1" applyAlignment="1">
      <alignment horizontal="left" vertical="top" wrapText="1"/>
    </xf>
    <xf numFmtId="0" fontId="25" fillId="2" borderId="5" xfId="2" applyFont="1" applyFill="1" applyBorder="1" applyAlignment="1">
      <alignment horizontal="left" vertical="center" wrapText="1"/>
    </xf>
    <xf numFmtId="0" fontId="25" fillId="2" borderId="6" xfId="2" applyFont="1" applyFill="1" applyBorder="1" applyAlignment="1">
      <alignment horizontal="left" vertical="center" wrapText="1"/>
    </xf>
    <xf numFmtId="0" fontId="25" fillId="2" borderId="4" xfId="2" applyFont="1" applyFill="1" applyBorder="1" applyAlignment="1">
      <alignment horizontal="left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11" xfId="2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top" wrapText="1"/>
    </xf>
    <xf numFmtId="0" fontId="25" fillId="2" borderId="11" xfId="2" applyFont="1" applyFill="1" applyBorder="1" applyAlignment="1">
      <alignment horizontal="center" vertical="top" wrapText="1"/>
    </xf>
    <xf numFmtId="0" fontId="25" fillId="2" borderId="9" xfId="2" applyFont="1" applyFill="1" applyBorder="1" applyAlignment="1">
      <alignment horizontal="center" vertical="top" wrapText="1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165" fontId="7" fillId="5" borderId="43" xfId="2" applyNumberFormat="1" applyFont="1" applyFill="1" applyBorder="1" applyAlignment="1">
      <alignment horizontal="center" vertical="top" wrapText="1"/>
    </xf>
    <xf numFmtId="165" fontId="7" fillId="5" borderId="13" xfId="2" applyNumberFormat="1" applyFont="1" applyFill="1" applyBorder="1" applyAlignment="1">
      <alignment horizontal="center" vertical="top" wrapText="1"/>
    </xf>
    <xf numFmtId="2" fontId="7" fillId="5" borderId="43" xfId="2" applyNumberFormat="1" applyFont="1" applyFill="1" applyBorder="1" applyAlignment="1">
      <alignment horizontal="center" vertical="top" wrapText="1"/>
    </xf>
    <xf numFmtId="2" fontId="7" fillId="5" borderId="13" xfId="2" applyNumberFormat="1" applyFont="1" applyFill="1" applyBorder="1" applyAlignment="1">
      <alignment horizontal="center" vertical="top" wrapText="1"/>
    </xf>
    <xf numFmtId="0" fontId="7" fillId="4" borderId="43" xfId="2" applyFont="1" applyFill="1" applyBorder="1" applyAlignment="1">
      <alignment horizontal="center" vertical="top" wrapText="1"/>
    </xf>
    <xf numFmtId="0" fontId="7" fillId="4" borderId="13" xfId="2" applyFont="1" applyFill="1" applyBorder="1" applyAlignment="1">
      <alignment horizontal="center" vertical="top" wrapText="1"/>
    </xf>
    <xf numFmtId="165" fontId="7" fillId="9" borderId="43" xfId="2" applyNumberFormat="1" applyFont="1" applyFill="1" applyBorder="1" applyAlignment="1">
      <alignment horizontal="center" vertical="top" wrapText="1"/>
    </xf>
    <xf numFmtId="165" fontId="7" fillId="9" borderId="13" xfId="2" applyNumberFormat="1" applyFont="1" applyFill="1" applyBorder="1" applyAlignment="1">
      <alignment horizontal="center" vertical="top" wrapText="1"/>
    </xf>
    <xf numFmtId="2" fontId="7" fillId="9" borderId="43" xfId="2" applyNumberFormat="1" applyFont="1" applyFill="1" applyBorder="1" applyAlignment="1">
      <alignment horizontal="center" vertical="top" wrapText="1"/>
    </xf>
    <xf numFmtId="2" fontId="7" fillId="9" borderId="13" xfId="2" applyNumberFormat="1" applyFont="1" applyFill="1" applyBorder="1" applyAlignment="1">
      <alignment horizontal="center" vertical="top" wrapText="1"/>
    </xf>
    <xf numFmtId="0" fontId="7" fillId="4" borderId="39" xfId="2" applyFont="1" applyFill="1" applyBorder="1" applyAlignment="1">
      <alignment vertical="top"/>
    </xf>
    <xf numFmtId="0" fontId="7" fillId="4" borderId="40" xfId="2" applyFont="1" applyFill="1" applyBorder="1" applyAlignment="1">
      <alignment vertical="top"/>
    </xf>
    <xf numFmtId="0" fontId="7" fillId="4" borderId="39" xfId="2" applyFont="1" applyFill="1" applyBorder="1" applyAlignment="1">
      <alignment horizontal="left" vertical="top" wrapText="1"/>
    </xf>
    <xf numFmtId="0" fontId="7" fillId="4" borderId="40" xfId="2" applyFont="1" applyFill="1" applyBorder="1" applyAlignment="1">
      <alignment horizontal="left" vertical="top" wrapText="1"/>
    </xf>
    <xf numFmtId="0" fontId="7" fillId="4" borderId="41" xfId="2" applyFont="1" applyFill="1" applyBorder="1" applyAlignment="1">
      <alignment horizontal="left" vertical="top" wrapText="1"/>
    </xf>
    <xf numFmtId="0" fontId="7" fillId="4" borderId="5" xfId="2" applyFont="1" applyFill="1" applyBorder="1" applyAlignment="1">
      <alignment horizontal="left" vertical="top" wrapText="1"/>
    </xf>
    <xf numFmtId="0" fontId="7" fillId="4" borderId="6" xfId="2" applyFont="1" applyFill="1" applyBorder="1" applyAlignment="1">
      <alignment horizontal="left" vertical="top" wrapText="1"/>
    </xf>
    <xf numFmtId="0" fontId="7" fillId="4" borderId="42" xfId="2" applyFont="1" applyFill="1" applyBorder="1" applyAlignment="1">
      <alignment horizontal="left" vertical="top" wrapText="1"/>
    </xf>
    <xf numFmtId="0" fontId="7" fillId="4" borderId="7" xfId="2" applyFont="1" applyFill="1" applyBorder="1" applyAlignment="1">
      <alignment horizontal="left" vertical="top"/>
    </xf>
    <xf numFmtId="0" fontId="7" fillId="4" borderId="39" xfId="2" applyFont="1" applyFill="1" applyBorder="1" applyAlignment="1">
      <alignment horizontal="left" vertical="top"/>
    </xf>
    <xf numFmtId="0" fontId="7" fillId="4" borderId="40" xfId="2" applyFont="1" applyFill="1" applyBorder="1" applyAlignment="1">
      <alignment horizontal="left" vertical="top"/>
    </xf>
    <xf numFmtId="0" fontId="7" fillId="4" borderId="41" xfId="2" applyFont="1" applyFill="1" applyBorder="1" applyAlignment="1">
      <alignment horizontal="left" vertical="top"/>
    </xf>
    <xf numFmtId="0" fontId="7" fillId="4" borderId="8" xfId="2" applyFont="1" applyFill="1" applyBorder="1" applyAlignment="1">
      <alignment horizontal="left" vertical="top"/>
    </xf>
    <xf numFmtId="0" fontId="7" fillId="4" borderId="11" xfId="2" applyFont="1" applyFill="1" applyBorder="1" applyAlignment="1">
      <alignment horizontal="left" vertical="top"/>
    </xf>
    <xf numFmtId="0" fontId="7" fillId="4" borderId="9" xfId="2" applyFont="1" applyFill="1" applyBorder="1" applyAlignment="1">
      <alignment horizontal="left" vertical="top"/>
    </xf>
    <xf numFmtId="0" fontId="25" fillId="2" borderId="8" xfId="2" applyFont="1" applyFill="1" applyBorder="1" applyAlignment="1">
      <alignment horizontal="left" vertical="center" wrapText="1"/>
    </xf>
    <xf numFmtId="0" fontId="25" fillId="2" borderId="11" xfId="2" applyFont="1" applyFill="1" applyBorder="1" applyAlignment="1">
      <alignment horizontal="left" vertical="center" wrapText="1"/>
    </xf>
    <xf numFmtId="0" fontId="25" fillId="2" borderId="9" xfId="2" applyFont="1" applyFill="1" applyBorder="1" applyAlignment="1">
      <alignment horizontal="left" vertical="center" wrapText="1"/>
    </xf>
    <xf numFmtId="0" fontId="7" fillId="4" borderId="10" xfId="2" applyFont="1" applyFill="1" applyBorder="1" applyAlignment="1">
      <alignment horizontal="left" vertical="top" wrapText="1"/>
    </xf>
    <xf numFmtId="0" fontId="7" fillId="4" borderId="0" xfId="2" applyFont="1" applyFill="1" applyAlignment="1">
      <alignment horizontal="left" vertical="top" wrapText="1"/>
    </xf>
    <xf numFmtId="0" fontId="24" fillId="3" borderId="7" xfId="2" applyFont="1" applyFill="1" applyBorder="1" applyAlignment="1">
      <alignment horizontal="left" vertical="top" wrapText="1"/>
    </xf>
    <xf numFmtId="0" fontId="5" fillId="2" borderId="8" xfId="2" applyFont="1" applyFill="1" applyBorder="1" applyAlignment="1" applyProtection="1">
      <alignment horizontal="left" vertical="center" wrapText="1"/>
      <protection locked="0"/>
    </xf>
    <xf numFmtId="0" fontId="5" fillId="2" borderId="11" xfId="2" applyFont="1" applyFill="1" applyBorder="1" applyAlignment="1" applyProtection="1">
      <alignment horizontal="left" vertical="center" wrapText="1"/>
      <protection locked="0"/>
    </xf>
    <xf numFmtId="0" fontId="5" fillId="2" borderId="9" xfId="2" applyFont="1" applyFill="1" applyBorder="1" applyAlignment="1" applyProtection="1">
      <alignment horizontal="left" vertical="center" wrapText="1"/>
      <protection locked="0"/>
    </xf>
    <xf numFmtId="0" fontId="7" fillId="4" borderId="7" xfId="2" applyFont="1" applyFill="1" applyBorder="1" applyAlignment="1" applyProtection="1">
      <alignment horizontal="left" vertical="top"/>
      <protection locked="0"/>
    </xf>
    <xf numFmtId="0" fontId="12" fillId="4" borderId="7" xfId="2" applyFont="1" applyFill="1" applyBorder="1" applyAlignment="1">
      <alignment horizontal="left" vertical="top"/>
    </xf>
    <xf numFmtId="0" fontId="24" fillId="3" borderId="7" xfId="2" applyFont="1" applyFill="1" applyBorder="1" applyAlignment="1" applyProtection="1">
      <alignment horizontal="left" vertical="top" wrapText="1"/>
      <protection locked="0"/>
    </xf>
    <xf numFmtId="0" fontId="7" fillId="4" borderId="7" xfId="2" applyFont="1" applyFill="1" applyBorder="1" applyAlignment="1">
      <alignment vertical="top"/>
    </xf>
    <xf numFmtId="0" fontId="24" fillId="3" borderId="7" xfId="2" applyFont="1" applyFill="1" applyBorder="1" applyAlignment="1">
      <alignment vertical="top" wrapText="1"/>
    </xf>
    <xf numFmtId="0" fontId="7" fillId="4" borderId="7" xfId="2" applyFont="1" applyFill="1" applyBorder="1" applyAlignment="1">
      <alignment horizontal="left" vertical="center"/>
    </xf>
    <xf numFmtId="0" fontId="26" fillId="6" borderId="7" xfId="0" applyFont="1" applyFill="1" applyBorder="1" applyAlignment="1" applyProtection="1">
      <alignment horizontal="center"/>
      <protection locked="0"/>
    </xf>
    <xf numFmtId="2" fontId="12" fillId="5" borderId="14" xfId="2" applyNumberFormat="1" applyFont="1" applyFill="1" applyBorder="1" applyAlignment="1">
      <alignment horizontal="center" vertical="top" wrapText="1"/>
    </xf>
    <xf numFmtId="2" fontId="12" fillId="5" borderId="12" xfId="2" applyNumberFormat="1" applyFont="1" applyFill="1" applyBorder="1" applyAlignment="1">
      <alignment horizontal="center" vertical="top" wrapText="1"/>
    </xf>
    <xf numFmtId="2" fontId="12" fillId="5" borderId="47" xfId="2" applyNumberFormat="1" applyFont="1" applyFill="1" applyBorder="1" applyAlignment="1">
      <alignment horizontal="center" vertical="top" wrapText="1"/>
    </xf>
    <xf numFmtId="0" fontId="25" fillId="2" borderId="8" xfId="2" applyFont="1" applyFill="1" applyBorder="1" applyAlignment="1">
      <alignment vertical="center" wrapText="1"/>
    </xf>
    <xf numFmtId="0" fontId="25" fillId="2" borderId="11" xfId="2" applyFont="1" applyFill="1" applyBorder="1" applyAlignment="1">
      <alignment vertical="center" wrapText="1"/>
    </xf>
    <xf numFmtId="0" fontId="25" fillId="2" borderId="9" xfId="2" applyFont="1" applyFill="1" applyBorder="1" applyAlignment="1">
      <alignment vertical="center" wrapText="1"/>
    </xf>
    <xf numFmtId="0" fontId="25" fillId="11" borderId="8" xfId="2" applyFont="1" applyFill="1" applyBorder="1" applyAlignment="1">
      <alignment vertical="top" wrapText="1"/>
    </xf>
    <xf numFmtId="0" fontId="25" fillId="11" borderId="11" xfId="2" applyFont="1" applyFill="1" applyBorder="1" applyAlignment="1">
      <alignment vertical="top" wrapText="1"/>
    </xf>
    <xf numFmtId="0" fontId="25" fillId="11" borderId="9" xfId="2" applyFont="1" applyFill="1" applyBorder="1" applyAlignment="1">
      <alignment vertical="top" wrapText="1"/>
    </xf>
    <xf numFmtId="1" fontId="7" fillId="5" borderId="7" xfId="2" applyNumberFormat="1" applyFont="1" applyFill="1" applyBorder="1" applyAlignment="1" applyProtection="1">
      <alignment horizontal="left" vertical="top" wrapText="1"/>
      <protection locked="0"/>
    </xf>
    <xf numFmtId="1" fontId="7" fillId="5" borderId="7" xfId="2" applyNumberFormat="1" applyFont="1" applyFill="1" applyBorder="1" applyAlignment="1">
      <alignment horizontal="left" vertical="top" wrapText="1"/>
    </xf>
    <xf numFmtId="0" fontId="0" fillId="6" borderId="1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26" fillId="6" borderId="8" xfId="0" applyFont="1" applyFill="1" applyBorder="1" applyAlignment="1" applyProtection="1">
      <alignment horizontal="center"/>
      <protection locked="0"/>
    </xf>
    <xf numFmtId="0" fontId="26" fillId="6" borderId="9" xfId="0" applyFont="1" applyFill="1" applyBorder="1" applyAlignment="1" applyProtection="1">
      <alignment horizontal="center"/>
      <protection locked="0"/>
    </xf>
    <xf numFmtId="2" fontId="12" fillId="5" borderId="7" xfId="2" applyNumberFormat="1" applyFont="1" applyFill="1" applyBorder="1" applyAlignment="1">
      <alignment horizontal="center" vertical="top" wrapText="1"/>
    </xf>
    <xf numFmtId="165" fontId="26" fillId="6" borderId="8" xfId="0" applyNumberFormat="1" applyFont="1" applyFill="1" applyBorder="1" applyAlignment="1" applyProtection="1">
      <alignment horizontal="center" vertical="center"/>
      <protection locked="0"/>
    </xf>
    <xf numFmtId="165" fontId="26" fillId="6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49" xfId="0" applyFill="1" applyBorder="1" applyProtection="1">
      <protection locked="0"/>
    </xf>
  </cellXfs>
  <cellStyles count="3">
    <cellStyle name="Normal" xfId="0" builtinId="0"/>
    <cellStyle name="Normal 2" xfId="2" xr:uid="{2A51B9CB-2160-4CCB-BDF2-494E30A0CE17}"/>
    <cellStyle name="Porcentaje" xfId="1" builtinId="5"/>
  </cellStyles>
  <dxfs count="0"/>
  <tableStyles count="0" defaultTableStyle="TableStyleMedium2" defaultPivotStyle="PivotStyleLight16"/>
  <colors>
    <mruColors>
      <color rgb="FFA6E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emanda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1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11" Type="http://schemas.openxmlformats.org/officeDocument/2006/relationships/image" Target="../media/image19.jpg"/><Relationship Id="rId5" Type="http://schemas.openxmlformats.org/officeDocument/2006/relationships/image" Target="../media/image13.png"/><Relationship Id="rId10" Type="http://schemas.openxmlformats.org/officeDocument/2006/relationships/image" Target="../media/image18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Relationship Id="rId14" Type="http://schemas.openxmlformats.org/officeDocument/2006/relationships/image" Target="../media/image2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png"/><Relationship Id="rId3" Type="http://schemas.openxmlformats.org/officeDocument/2006/relationships/image" Target="../media/image26.png"/><Relationship Id="rId7" Type="http://schemas.openxmlformats.org/officeDocument/2006/relationships/image" Target="../media/image30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6" Type="http://schemas.openxmlformats.org/officeDocument/2006/relationships/image" Target="../media/image29.png"/><Relationship Id="rId11" Type="http://schemas.openxmlformats.org/officeDocument/2006/relationships/image" Target="../media/image17.png"/><Relationship Id="rId5" Type="http://schemas.openxmlformats.org/officeDocument/2006/relationships/image" Target="../media/image28.png"/><Relationship Id="rId10" Type="http://schemas.openxmlformats.org/officeDocument/2006/relationships/image" Target="../media/image16.png"/><Relationship Id="rId4" Type="http://schemas.openxmlformats.org/officeDocument/2006/relationships/image" Target="../media/image27.png"/><Relationship Id="rId9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64642</xdr:colOff>
      <xdr:row>1</xdr:row>
      <xdr:rowOff>56859</xdr:rowOff>
    </xdr:from>
    <xdr:to>
      <xdr:col>3</xdr:col>
      <xdr:colOff>18107</xdr:colOff>
      <xdr:row>9</xdr:row>
      <xdr:rowOff>33792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BEDF07-BD8A-4C31-98EB-FA3945B47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919" y="237928"/>
          <a:ext cx="1402020" cy="1425488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3</xdr:col>
      <xdr:colOff>385950</xdr:colOff>
      <xdr:row>1</xdr:row>
      <xdr:rowOff>53438</xdr:rowOff>
    </xdr:from>
    <xdr:to>
      <xdr:col>10</xdr:col>
      <xdr:colOff>391886</xdr:colOff>
      <xdr:row>9</xdr:row>
      <xdr:rowOff>31431</xdr:rowOff>
    </xdr:to>
    <xdr:pic>
      <xdr:nvPicPr>
        <xdr:cNvPr id="3" name="Picture 4" descr="Identidad Visual Corporativa ETSIE - Escuela Técnica Superior de Ingeniería  de Edificación - Universidad de Granada">
          <a:extLst>
            <a:ext uri="{FF2B5EF4-FFF2-40B4-BE49-F238E27FC236}">
              <a16:creationId xmlns:a16="http://schemas.microsoft.com/office/drawing/2014/main" id="{A51942AE-144B-4F4F-87CA-3E77B52F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782" y="234507"/>
          <a:ext cx="5075876" cy="1426548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89066</xdr:rowOff>
    </xdr:to>
    <xdr:pic>
      <xdr:nvPicPr>
        <xdr:cNvPr id="4" name="Gráfico 3" descr="Reproducir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8EB27E-FE3F-48BB-BE06-09A45D104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35142" y="4277704"/>
          <a:ext cx="878656" cy="899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73459</xdr:colOff>
      <xdr:row>8</xdr:row>
      <xdr:rowOff>81959</xdr:rowOff>
    </xdr:from>
    <xdr:to>
      <xdr:col>13</xdr:col>
      <xdr:colOff>403439</xdr:colOff>
      <xdr:row>12</xdr:row>
      <xdr:rowOff>6503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6A1053-1871-4F17-A243-0B512212F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0105" y="1530513"/>
          <a:ext cx="3951366" cy="666929"/>
        </a:xfrm>
        <a:prstGeom prst="rect">
          <a:avLst/>
        </a:prstGeom>
      </xdr:spPr>
    </xdr:pic>
    <xdr:clientData/>
  </xdr:twoCellAnchor>
  <xdr:twoCellAnchor editAs="oneCell">
    <xdr:from>
      <xdr:col>8</xdr:col>
      <xdr:colOff>63934</xdr:colOff>
      <xdr:row>12</xdr:row>
      <xdr:rowOff>91011</xdr:rowOff>
    </xdr:from>
    <xdr:to>
      <xdr:col>14</xdr:col>
      <xdr:colOff>255283</xdr:colOff>
      <xdr:row>15</xdr:row>
      <xdr:rowOff>22124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E58DC4-5424-45EF-BC93-3CF8BAFF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0580" y="2263843"/>
          <a:ext cx="4618493" cy="483374"/>
        </a:xfrm>
        <a:prstGeom prst="rect">
          <a:avLst/>
        </a:prstGeom>
      </xdr:spPr>
    </xdr:pic>
    <xdr:clientData/>
  </xdr:twoCellAnchor>
  <xdr:twoCellAnchor editAs="oneCell">
    <xdr:from>
      <xdr:col>8</xdr:col>
      <xdr:colOff>54408</xdr:colOff>
      <xdr:row>3</xdr:row>
      <xdr:rowOff>34240</xdr:rowOff>
    </xdr:from>
    <xdr:to>
      <xdr:col>14</xdr:col>
      <xdr:colOff>502933</xdr:colOff>
      <xdr:row>8</xdr:row>
      <xdr:rowOff>20724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C19C92-AD4C-4645-B2F1-1697683FD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1054" y="577448"/>
          <a:ext cx="4875669" cy="891830"/>
        </a:xfrm>
        <a:prstGeom prst="rect">
          <a:avLst/>
        </a:prstGeom>
      </xdr:spPr>
    </xdr:pic>
    <xdr:clientData/>
  </xdr:twoCellAnchor>
  <xdr:twoCellAnchor editAs="oneCell">
    <xdr:from>
      <xdr:col>15</xdr:col>
      <xdr:colOff>27066</xdr:colOff>
      <xdr:row>0</xdr:row>
      <xdr:rowOff>78777</xdr:rowOff>
    </xdr:from>
    <xdr:to>
      <xdr:col>19</xdr:col>
      <xdr:colOff>483318</xdr:colOff>
      <xdr:row>16</xdr:row>
      <xdr:rowOff>115813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B55AC60-FB5B-4C10-9D49-60B872DED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63652" y="78777"/>
          <a:ext cx="3353361" cy="2979412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oneCellAnchor>
    <xdr:from>
      <xdr:col>8</xdr:col>
      <xdr:colOff>114300</xdr:colOff>
      <xdr:row>17</xdr:row>
      <xdr:rowOff>112926</xdr:rowOff>
    </xdr:from>
    <xdr:ext cx="6146298" cy="4398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28992937-3BE8-41E5-86D7-2272DDDC6965}"/>
                </a:ext>
              </a:extLst>
            </xdr:cNvPr>
            <xdr:cNvSpPr txBox="1"/>
          </xdr:nvSpPr>
          <xdr:spPr>
            <a:xfrm>
              <a:off x="6048375" y="3303801"/>
              <a:ext cx="6146298" cy="439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 panose="02040503050406030204" pitchFamily="18" charset="0"/>
                    </a:rPr>
                    <m:t>𝐷𝑒𝑚𝑎𝑛𝑑𝑎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𝑑𝑒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𝐴𝐶𝑆</m:t>
                  </m:r>
                  <m:d>
                    <m:dPr>
                      <m:ctrlPr>
                        <a:rPr lang="es-ES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ES" sz="11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𝑙</m:t>
                          </m:r>
                        </m:num>
                        <m:den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𝑑</m:t>
                          </m:r>
                        </m:den>
                      </m:f>
                    </m:e>
                  </m:d>
                  <m:r>
                    <a:rPr lang="es-ES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𝐷𝑒𝑚𝑎𝑛𝑑𝑎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𝑑𝑒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𝐴𝐶𝑆</m:t>
                  </m:r>
                  <m:d>
                    <m:dPr>
                      <m:ctrlP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s-E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E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𝑙</m:t>
                          </m:r>
                        </m:num>
                        <m:den>
                          <m:r>
                            <a:rPr lang="es-E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𝑑</m:t>
                          </m:r>
                          <m:r>
                            <a:rPr lang="es-E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  <m:r>
                            <a:rPr lang="es-E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𝑝𝑒𝑟𝑠𝑜𝑛𝑎</m:t>
                          </m:r>
                        </m:den>
                      </m:f>
                    </m:e>
                  </m:d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∗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𝑁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ú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𝑚𝑒𝑟𝑜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𝑑𝑒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s-E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𝑝𝑒𝑟𝑠𝑜𝑛𝑎𝑠</m:t>
                  </m:r>
                </m:oMath>
              </a14:m>
              <a:r>
                <a:rPr lang="es-ES" sz="1100"/>
                <a:t>*Factor</a:t>
              </a:r>
              <a:r>
                <a:rPr lang="es-ES" sz="1100" baseline="0"/>
                <a:t> de centralización</a:t>
              </a:r>
            </a:p>
            <a:p>
              <a:endParaRPr lang="es-ES" sz="1100"/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28992937-3BE8-41E5-86D7-2272DDDC6965}"/>
                </a:ext>
              </a:extLst>
            </xdr:cNvPr>
            <xdr:cNvSpPr txBox="1"/>
          </xdr:nvSpPr>
          <xdr:spPr>
            <a:xfrm>
              <a:off x="6048375" y="3303801"/>
              <a:ext cx="6146298" cy="439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𝐷𝑒𝑚𝑎𝑛𝑑𝑎 𝑑𝑒 𝐴𝐶𝑆(𝑙/𝑑)=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𝐷𝑒𝑚𝑎𝑛𝑑𝑎 𝑑𝑒 𝐴𝐶𝑆(𝑙/(𝑑∗𝑝𝑒𝑟𝑠𝑜𝑛𝑎))∗𝑁ú𝑚𝑒𝑟𝑜 𝑑𝑒 𝑝𝑒𝑟𝑠𝑜𝑛𝑎𝑠</a:t>
              </a:r>
              <a:r>
                <a:rPr lang="es-ES" sz="1100"/>
                <a:t>*Factor</a:t>
              </a:r>
              <a:r>
                <a:rPr lang="es-ES" sz="1100" baseline="0"/>
                <a:t> de centralización</a:t>
              </a:r>
            </a:p>
            <a:p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287965</xdr:colOff>
      <xdr:row>36</xdr:row>
      <xdr:rowOff>36638</xdr:rowOff>
    </xdr:from>
    <xdr:ext cx="2489208" cy="327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AA668A53-C0A2-49D9-8601-7BF31A30A219}"/>
                </a:ext>
              </a:extLst>
            </xdr:cNvPr>
            <xdr:cNvSpPr txBox="1"/>
          </xdr:nvSpPr>
          <xdr:spPr>
            <a:xfrm>
              <a:off x="2234460" y="6654721"/>
              <a:ext cx="2489208" cy="327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60º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</m:e>
                        </m:d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∗1,16∗(60−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𝑇𝑎𝑔𝑢𝑎𝑓𝑟𝑖𝑎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AA668A53-C0A2-49D9-8601-7BF31A30A219}"/>
                </a:ext>
              </a:extLst>
            </xdr:cNvPr>
            <xdr:cNvSpPr txBox="1"/>
          </xdr:nvSpPr>
          <xdr:spPr>
            <a:xfrm>
              <a:off x="2234460" y="6654721"/>
              <a:ext cx="2489208" cy="327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𝑄=(𝐷(60º𝐶)∗1,16∗(60−𝑇𝑎𝑔𝑢𝑎𝑓𝑟𝑖𝑎))/1000</a:t>
              </a:r>
              <a:endParaRPr lang="es-E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76</xdr:row>
      <xdr:rowOff>126746</xdr:rowOff>
    </xdr:from>
    <xdr:to>
      <xdr:col>11</xdr:col>
      <xdr:colOff>595825</xdr:colOff>
      <xdr:row>77</xdr:row>
      <xdr:rowOff>239362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5EB37-ED6B-42EF-8CA2-566BA7F82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9157" y="14349740"/>
          <a:ext cx="2845234" cy="293685"/>
        </a:xfrm>
        <a:prstGeom prst="rect">
          <a:avLst/>
        </a:prstGeom>
      </xdr:spPr>
    </xdr:pic>
    <xdr:clientData/>
  </xdr:twoCellAnchor>
  <xdr:oneCellAnchor>
    <xdr:from>
      <xdr:col>7</xdr:col>
      <xdr:colOff>733425</xdr:colOff>
      <xdr:row>68</xdr:row>
      <xdr:rowOff>176212</xdr:rowOff>
    </xdr:from>
    <xdr:ext cx="398974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EC641B66-C44C-47B5-84BB-DC6A0FFDBE4E}"/>
                </a:ext>
              </a:extLst>
            </xdr:cNvPr>
            <xdr:cNvSpPr txBox="1"/>
          </xdr:nvSpPr>
          <xdr:spPr>
            <a:xfrm>
              <a:off x="6657975" y="13501687"/>
              <a:ext cx="398974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𝐶𝑜𝑛𝑡𝑒𝑛𝑖𝑑𝑜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𝑎𝑔𝑢𝑎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𝑒𝑛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𝑡𝑢𝑏𝑒𝑟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í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𝑎𝑠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𝑣𝑜𝑙𝑢𝑚𝑒𝑛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𝑢𝑛𝑖𝑡𝑎𝑟𝑖𝑜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𝑙𝑜𝑛𝑔𝑖𝑡𝑢𝑑</m:t>
                    </m:r>
                  </m:oMath>
                </m:oMathPara>
              </a14:m>
              <a:endParaRPr lang="es-ES" sz="1100" b="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EC641B66-C44C-47B5-84BB-DC6A0FFDBE4E}"/>
                </a:ext>
              </a:extLst>
            </xdr:cNvPr>
            <xdr:cNvSpPr txBox="1"/>
          </xdr:nvSpPr>
          <xdr:spPr>
            <a:xfrm>
              <a:off x="6657975" y="13501687"/>
              <a:ext cx="398974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𝐶𝑜𝑛𝑡𝑒𝑛𝑖𝑑𝑜 𝑑𝑒 𝑎𝑔𝑢𝑎 𝑒𝑛 𝑡𝑢𝑏𝑒𝑟í𝑎𝑠=𝑣𝑜𝑙𝑢𝑚𝑒𝑛 𝑢𝑛𝑖𝑡𝑎𝑟𝑖𝑜 ∗𝑙𝑜𝑛𝑔𝑖𝑡𝑢𝑑</a:t>
              </a:r>
              <a:endParaRPr lang="es-ES" sz="1100" b="0"/>
            </a:p>
          </xdr:txBody>
        </xdr:sp>
      </mc:Fallback>
    </mc:AlternateContent>
    <xdr:clientData/>
  </xdr:oneCellAnchor>
  <xdr:oneCellAnchor>
    <xdr:from>
      <xdr:col>7</xdr:col>
      <xdr:colOff>752475</xdr:colOff>
      <xdr:row>71</xdr:row>
      <xdr:rowOff>171450</xdr:rowOff>
    </xdr:from>
    <xdr:ext cx="67869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5D8F973E-6C3F-49EF-B14B-245650578EB0}"/>
                </a:ext>
              </a:extLst>
            </xdr:cNvPr>
            <xdr:cNvSpPr txBox="1"/>
          </xdr:nvSpPr>
          <xdr:spPr>
            <a:xfrm>
              <a:off x="6677025" y="14068425"/>
              <a:ext cx="67869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𝐶𝑜𝑛𝑡𝑒𝑛𝑖𝑑𝑜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𝑎𝑔𝑢𝑎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𝑒𝑛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𝑐𝑎𝑝𝑡𝑎𝑑𝑜𝑟𝑒𝑠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𝑐𝑎𝑝𝑎𝑐𝑖𝑑𝑎𝑑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𝑢𝑛𝑖𝑡𝑎𝑟𝑖𝑎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𝑣𝑜𝑙𝑢𝑚𝑒𝑡𝑟𝑖𝑐𝑎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𝑑𝑒𝑙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𝑐𝑎𝑝𝑡𝑎𝑑𝑜𝑟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𝑛𝑢𝑚𝑒𝑟𝑜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𝑐𝑎𝑝𝑡𝑎𝑑𝑜𝑟𝑒𝑠</m:t>
                    </m:r>
                  </m:oMath>
                </m:oMathPara>
              </a14:m>
              <a:endParaRPr lang="es-ES" sz="1100" b="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5D8F973E-6C3F-49EF-B14B-245650578EB0}"/>
                </a:ext>
              </a:extLst>
            </xdr:cNvPr>
            <xdr:cNvSpPr txBox="1"/>
          </xdr:nvSpPr>
          <xdr:spPr>
            <a:xfrm>
              <a:off x="6677025" y="14068425"/>
              <a:ext cx="67869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𝐶𝑜𝑛𝑡𝑒𝑛𝑖𝑑𝑜 𝑑𝑒 𝑎𝑔𝑢𝑎 𝑒𝑛 𝑐𝑎𝑝𝑡𝑎𝑑𝑜𝑟𝑒𝑠=𝑐𝑎𝑝𝑎𝑐𝑖𝑑𝑎𝑑 𝑢𝑛𝑖𝑡𝑎𝑟𝑖𝑎 𝑣𝑜𝑙𝑢𝑚𝑒𝑡𝑟𝑖𝑐𝑎 𝑑𝑒𝑙 𝑐𝑎𝑝𝑡𝑎𝑑𝑜𝑟∗𝑛𝑢𝑚𝑒𝑟𝑜 𝑑𝑒 𝑐𝑎𝑝𝑡𝑎𝑑𝑜𝑟𝑒𝑠</a:t>
              </a:r>
              <a:endParaRPr lang="es-ES" sz="1100" b="0"/>
            </a:p>
          </xdr:txBody>
        </xdr:sp>
      </mc:Fallback>
    </mc:AlternateContent>
    <xdr:clientData/>
  </xdr:oneCellAnchor>
  <xdr:twoCellAnchor editAs="oneCell">
    <xdr:from>
      <xdr:col>7</xdr:col>
      <xdr:colOff>644302</xdr:colOff>
      <xdr:row>79</xdr:row>
      <xdr:rowOff>189188</xdr:rowOff>
    </xdr:from>
    <xdr:to>
      <xdr:col>9</xdr:col>
      <xdr:colOff>262549</xdr:colOff>
      <xdr:row>81</xdr:row>
      <xdr:rowOff>60126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9668D7-A5B2-40A7-8BD7-EB9C7B2D4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5759" y="15100245"/>
          <a:ext cx="1066802" cy="504681"/>
        </a:xfrm>
        <a:prstGeom prst="rect">
          <a:avLst/>
        </a:prstGeom>
      </xdr:spPr>
    </xdr:pic>
    <xdr:clientData/>
  </xdr:twoCellAnchor>
  <xdr:twoCellAnchor editAs="oneCell">
    <xdr:from>
      <xdr:col>7</xdr:col>
      <xdr:colOff>652886</xdr:colOff>
      <xdr:row>81</xdr:row>
      <xdr:rowOff>25654</xdr:rowOff>
    </xdr:from>
    <xdr:to>
      <xdr:col>9</xdr:col>
      <xdr:colOff>431929</xdr:colOff>
      <xdr:row>82</xdr:row>
      <xdr:rowOff>19377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BA0D259-F0C1-44B8-8996-BCBEF645D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343" y="15570454"/>
          <a:ext cx="1227598" cy="373968"/>
        </a:xfrm>
        <a:prstGeom prst="rect">
          <a:avLst/>
        </a:prstGeom>
      </xdr:spPr>
    </xdr:pic>
    <xdr:clientData/>
  </xdr:twoCellAnchor>
  <xdr:twoCellAnchor>
    <xdr:from>
      <xdr:col>9</xdr:col>
      <xdr:colOff>371191</xdr:colOff>
      <xdr:row>57</xdr:row>
      <xdr:rowOff>72427</xdr:rowOff>
    </xdr:from>
    <xdr:to>
      <xdr:col>14</xdr:col>
      <xdr:colOff>570369</xdr:colOff>
      <xdr:row>61</xdr:row>
      <xdr:rowOff>99588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317DD8E-BD9E-4BDF-864B-E42CA58E5D22}"/>
            </a:ext>
          </a:extLst>
        </xdr:cNvPr>
        <xdr:cNvGrpSpPr/>
      </xdr:nvGrpSpPr>
      <xdr:grpSpPr>
        <a:xfrm>
          <a:off x="8924641" y="11073802"/>
          <a:ext cx="4009178" cy="789161"/>
          <a:chOff x="6838949" y="11277600"/>
          <a:chExt cx="3339037" cy="68335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21DEB1A3-98C3-4BCA-A391-7F0F9379FE4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t="32059"/>
          <a:stretch/>
        </xdr:blipFill>
        <xdr:spPr>
          <a:xfrm>
            <a:off x="6838949" y="11496675"/>
            <a:ext cx="3339037" cy="464276"/>
          </a:xfrm>
          <a:prstGeom prst="rect">
            <a:avLst/>
          </a:prstGeom>
          <a:ln>
            <a:solidFill>
              <a:schemeClr val="bg1">
                <a:lumMod val="50000"/>
              </a:schemeClr>
            </a:solidFill>
          </a:ln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7F86D5FC-6C6A-467B-AF95-D35462D7E44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l="68609" b="73517"/>
          <a:stretch/>
        </xdr:blipFill>
        <xdr:spPr>
          <a:xfrm>
            <a:off x="6838950" y="11277600"/>
            <a:ext cx="1037211" cy="180975"/>
          </a:xfrm>
          <a:prstGeom prst="rect">
            <a:avLst/>
          </a:prstGeom>
          <a:ln>
            <a:solidFill>
              <a:schemeClr val="bg1">
                <a:lumMod val="50000"/>
              </a:schemeClr>
            </a:solidFill>
          </a:ln>
        </xdr:spPr>
      </xdr:pic>
    </xdr:grpSp>
    <xdr:clientData/>
  </xdr:twoCellAnchor>
  <xdr:oneCellAnchor>
    <xdr:from>
      <xdr:col>8</xdr:col>
      <xdr:colOff>0</xdr:colOff>
      <xdr:row>58</xdr:row>
      <xdr:rowOff>0</xdr:rowOff>
    </xdr:from>
    <xdr:ext cx="68602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B3A02F7F-C3CA-4D58-906A-AFE887927749}"/>
                </a:ext>
              </a:extLst>
            </xdr:cNvPr>
            <xdr:cNvSpPr txBox="1"/>
          </xdr:nvSpPr>
          <xdr:spPr>
            <a:xfrm>
              <a:off x="6686550" y="11420475"/>
              <a:ext cx="68602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∗50</m:t>
                    </m:r>
                  </m:oMath>
                </m:oMathPara>
              </a14:m>
              <a:endParaRPr lang="es-ES" sz="1100" b="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B3A02F7F-C3CA-4D58-906A-AFE887927749}"/>
                </a:ext>
              </a:extLst>
            </xdr:cNvPr>
            <xdr:cNvSpPr txBox="1"/>
          </xdr:nvSpPr>
          <xdr:spPr>
            <a:xfrm>
              <a:off x="6686550" y="11420475"/>
              <a:ext cx="68602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𝑉=𝐴∗50</a:t>
              </a:r>
              <a:endParaRPr lang="es-ES" sz="1100" b="0"/>
            </a:p>
          </xdr:txBody>
        </xdr:sp>
      </mc:Fallback>
    </mc:AlternateContent>
    <xdr:clientData/>
  </xdr:oneCellAnchor>
  <xdr:oneCellAnchor>
    <xdr:from>
      <xdr:col>8</xdr:col>
      <xdr:colOff>0</xdr:colOff>
      <xdr:row>59</xdr:row>
      <xdr:rowOff>9525</xdr:rowOff>
    </xdr:from>
    <xdr:ext cx="7641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BC8B2F6-6917-44AC-B621-C051E946AEA0}"/>
                </a:ext>
              </a:extLst>
            </xdr:cNvPr>
            <xdr:cNvSpPr txBox="1"/>
          </xdr:nvSpPr>
          <xdr:spPr>
            <a:xfrm>
              <a:off x="6686550" y="11620500"/>
              <a:ext cx="7641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∗180</m:t>
                    </m:r>
                  </m:oMath>
                </m:oMathPara>
              </a14:m>
              <a:endParaRPr lang="es-ES" sz="1100" b="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BC8B2F6-6917-44AC-B621-C051E946AEA0}"/>
                </a:ext>
              </a:extLst>
            </xdr:cNvPr>
            <xdr:cNvSpPr txBox="1"/>
          </xdr:nvSpPr>
          <xdr:spPr>
            <a:xfrm>
              <a:off x="6686550" y="11620500"/>
              <a:ext cx="7641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𝑉=𝐴∗180</a:t>
              </a:r>
              <a:endParaRPr lang="es-ES" sz="1100" b="0"/>
            </a:p>
          </xdr:txBody>
        </xdr:sp>
      </mc:Fallback>
    </mc:AlternateContent>
    <xdr:clientData/>
  </xdr:oneCellAnchor>
  <xdr:twoCellAnchor>
    <xdr:from>
      <xdr:col>8</xdr:col>
      <xdr:colOff>51979</xdr:colOff>
      <xdr:row>50</xdr:row>
      <xdr:rowOff>122932</xdr:rowOff>
    </xdr:from>
    <xdr:to>
      <xdr:col>12</xdr:col>
      <xdr:colOff>688066</xdr:colOff>
      <xdr:row>56</xdr:row>
      <xdr:rowOff>12625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9F90D88-C5CE-418B-AE2E-9CFAF21DE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07512" y="9393681"/>
          <a:ext cx="3533196" cy="976108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8</xdr:col>
      <xdr:colOff>19049</xdr:colOff>
      <xdr:row>47</xdr:row>
      <xdr:rowOff>170353</xdr:rowOff>
    </xdr:from>
    <xdr:to>
      <xdr:col>9</xdr:col>
      <xdr:colOff>217283</xdr:colOff>
      <xdr:row>49</xdr:row>
      <xdr:rowOff>22969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2DADC62-08CB-480C-AC0E-FD8EB95B0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74582" y="8897894"/>
          <a:ext cx="922511" cy="214755"/>
        </a:xfrm>
        <a:prstGeom prst="rect">
          <a:avLst/>
        </a:prstGeom>
      </xdr:spPr>
    </xdr:pic>
    <xdr:clientData/>
  </xdr:twoCellAnchor>
  <xdr:twoCellAnchor editAs="oneCell">
    <xdr:from>
      <xdr:col>9</xdr:col>
      <xdr:colOff>217187</xdr:colOff>
      <xdr:row>47</xdr:row>
      <xdr:rowOff>122516</xdr:rowOff>
    </xdr:from>
    <xdr:to>
      <xdr:col>12</xdr:col>
      <xdr:colOff>566192</xdr:colOff>
      <xdr:row>49</xdr:row>
      <xdr:rowOff>63373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5D6E7E28-1CEE-495F-9114-CB80CE9D5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96997" y="8850057"/>
          <a:ext cx="2521837" cy="302996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14</xdr:col>
      <xdr:colOff>180182</xdr:colOff>
      <xdr:row>39</xdr:row>
      <xdr:rowOff>63312</xdr:rowOff>
    </xdr:from>
    <xdr:to>
      <xdr:col>19</xdr:col>
      <xdr:colOff>662037</xdr:colOff>
      <xdr:row>43</xdr:row>
      <xdr:rowOff>153909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FEFB8C4A-DE3D-4DA7-8662-DA36B8B3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881378" y="7315138"/>
          <a:ext cx="4103241" cy="860141"/>
        </a:xfrm>
        <a:prstGeom prst="rect">
          <a:avLst/>
        </a:prstGeom>
      </xdr:spPr>
    </xdr:pic>
    <xdr:clientData/>
  </xdr:twoCellAnchor>
  <xdr:twoCellAnchor editAs="oneCell">
    <xdr:from>
      <xdr:col>8</xdr:col>
      <xdr:colOff>53025</xdr:colOff>
      <xdr:row>38</xdr:row>
      <xdr:rowOff>36214</xdr:rowOff>
    </xdr:from>
    <xdr:to>
      <xdr:col>14</xdr:col>
      <xdr:colOff>148450</xdr:colOff>
      <xdr:row>45</xdr:row>
      <xdr:rowOff>101159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3DC9BF0-9B31-42B0-83B5-F8750ADF8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408558" y="7088864"/>
          <a:ext cx="4441088" cy="1395804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oneCellAnchor>
    <xdr:from>
      <xdr:col>7</xdr:col>
      <xdr:colOff>683440</xdr:colOff>
      <xdr:row>33</xdr:row>
      <xdr:rowOff>94725</xdr:rowOff>
    </xdr:from>
    <xdr:ext cx="5877315" cy="3522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85318780-A3CB-4898-A910-5E45FE9859FA}"/>
                </a:ext>
              </a:extLst>
            </xdr:cNvPr>
            <xdr:cNvSpPr txBox="1"/>
          </xdr:nvSpPr>
          <xdr:spPr>
            <a:xfrm>
              <a:off x="6314695" y="6169600"/>
              <a:ext cx="5877315" cy="352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𝑆𝑢𝑝𝑒𝑟𝑓𝑖𝑐𝑖𝑒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𝑐𝑎𝑝𝑡𝑎𝑐𝑖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𝐴𝑝𝑜𝑟𝑡𝑎𝑐𝑖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ó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í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𝑛𝑖𝑚𝑎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𝑐𝑜𝑛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𝑟𝑒𝑛𝑜𝑣𝑎𝑏𝑙𝑒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𝐸𝑛𝑒𝑟𝑔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í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𝑢𝑛𝑖𝑡𝑎𝑟𝑖𝑎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𝑎𝑝𝑟𝑜𝑣𝑒𝑐h𝑎𝑑𝑎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1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𝑎𝑟𝑒𝑎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𝑎𝑝𝑒𝑟𝑡𝑢𝑟𝑎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(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𝑎𝑛𝑢𝑎𝑙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ES" sz="1100" b="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85318780-A3CB-4898-A910-5E45FE9859FA}"/>
                </a:ext>
              </a:extLst>
            </xdr:cNvPr>
            <xdr:cNvSpPr txBox="1"/>
          </xdr:nvSpPr>
          <xdr:spPr>
            <a:xfrm>
              <a:off x="6314695" y="6169600"/>
              <a:ext cx="5877315" cy="352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𝑆𝑢𝑝𝑒𝑟𝑓𝑖𝑐𝑖𝑒 𝑑𝑒 𝑐𝑎𝑝𝑡𝑎𝑐𝑖ó𝑛=(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𝐴𝑝𝑜𝑟𝑡𝑎𝑐𝑖ó𝑛 𝑚í𝑛𝑖𝑚𝑎 𝑐𝑜𝑛 𝑟𝑒𝑛𝑜𝑣𝑎𝑏𝑙𝑒)/(</a:t>
              </a:r>
              <a:r>
                <a:rPr lang="es-ES" sz="1100" b="0" i="0">
                  <a:latin typeface="Cambria Math" panose="02040503050406030204" pitchFamily="18" charset="0"/>
                </a:rPr>
                <a:t>𝐸𝑛𝑒𝑟𝑔í𝑎 𝑢𝑛𝑖𝑡𝑎𝑟𝑖𝑎 𝑎𝑝𝑟𝑜𝑣𝑒𝑐ℎ𝑎𝑑𝑎 𝑝𝑜𝑟 1𝑚2 𝑑𝑒 𝑎𝑟𝑒𝑎 𝑎𝑝𝑒𝑟𝑡𝑢𝑟𝑎 (𝑎𝑛𝑢𝑎𝑙))</a:t>
              </a:r>
              <a:endParaRPr lang="es-ES" sz="1100" b="0"/>
            </a:p>
          </xdr:txBody>
        </xdr:sp>
      </mc:Fallback>
    </mc:AlternateContent>
    <xdr:clientData/>
  </xdr:oneCellAnchor>
  <xdr:twoCellAnchor>
    <xdr:from>
      <xdr:col>7</xdr:col>
      <xdr:colOff>660998</xdr:colOff>
      <xdr:row>5</xdr:row>
      <xdr:rowOff>83358</xdr:rowOff>
    </xdr:from>
    <xdr:to>
      <xdr:col>10</xdr:col>
      <xdr:colOff>50926</xdr:colOff>
      <xdr:row>11</xdr:row>
      <xdr:rowOff>120216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D3151D6C-ACC0-4BF8-B0B6-E1C6B1939F9E}"/>
            </a:ext>
          </a:extLst>
        </xdr:cNvPr>
        <xdr:cNvGrpSpPr/>
      </xdr:nvGrpSpPr>
      <xdr:grpSpPr>
        <a:xfrm>
          <a:off x="7690448" y="1016808"/>
          <a:ext cx="1675928" cy="1179858"/>
          <a:chOff x="6657976" y="972484"/>
          <a:chExt cx="1666874" cy="1179858"/>
        </a:xfrm>
      </xdr:grpSpPr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1B954E80-22AC-440C-9978-9F3A17C8B9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6657976" y="972484"/>
            <a:ext cx="1466849" cy="1179858"/>
          </a:xfrm>
          <a:prstGeom prst="rect">
            <a:avLst/>
          </a:prstGeom>
        </xdr:spPr>
      </xdr:pic>
      <xdr:sp macro="" textlink="">
        <xdr:nvSpPr>
          <xdr:cNvPr id="21" name="CuadroTexto 20">
            <a:extLst>
              <a:ext uri="{FF2B5EF4-FFF2-40B4-BE49-F238E27FC236}">
                <a16:creationId xmlns:a16="http://schemas.microsoft.com/office/drawing/2014/main" id="{9807277C-0174-4458-A4D6-7ABBD502274C}"/>
              </a:ext>
            </a:extLst>
          </xdr:cNvPr>
          <xdr:cNvSpPr txBox="1"/>
        </xdr:nvSpPr>
        <xdr:spPr>
          <a:xfrm>
            <a:off x="7848600" y="1590675"/>
            <a:ext cx="476250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/>
              <a:t>Sur</a:t>
            </a:r>
          </a:p>
        </xdr:txBody>
      </xdr:sp>
    </xdr:grpSp>
    <xdr:clientData/>
  </xdr:twoCellAnchor>
  <xdr:twoCellAnchor editAs="oneCell">
    <xdr:from>
      <xdr:col>13</xdr:col>
      <xdr:colOff>672352</xdr:colOff>
      <xdr:row>0</xdr:row>
      <xdr:rowOff>102475</xdr:rowOff>
    </xdr:from>
    <xdr:to>
      <xdr:col>18</xdr:col>
      <xdr:colOff>280146</xdr:colOff>
      <xdr:row>12</xdr:row>
      <xdr:rowOff>151968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2BCEA852-6D72-4013-BB2D-761E4EE84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2264" y="102475"/>
          <a:ext cx="3417794" cy="2335493"/>
        </a:xfrm>
        <a:prstGeom prst="rect">
          <a:avLst/>
        </a:prstGeom>
      </xdr:spPr>
    </xdr:pic>
    <xdr:clientData/>
  </xdr:twoCellAnchor>
  <xdr:twoCellAnchor editAs="oneCell">
    <xdr:from>
      <xdr:col>20</xdr:col>
      <xdr:colOff>89648</xdr:colOff>
      <xdr:row>26</xdr:row>
      <xdr:rowOff>158564</xdr:rowOff>
    </xdr:from>
    <xdr:to>
      <xdr:col>23</xdr:col>
      <xdr:colOff>268941</xdr:colOff>
      <xdr:row>28</xdr:row>
      <xdr:rowOff>24094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C6A32773-54EC-4882-92F6-7AC157EE2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b="86484"/>
        <a:stretch/>
      </xdr:blipFill>
      <xdr:spPr>
        <a:xfrm>
          <a:off x="15920198" y="5111564"/>
          <a:ext cx="2465293" cy="246529"/>
        </a:xfrm>
        <a:prstGeom prst="rect">
          <a:avLst/>
        </a:prstGeom>
      </xdr:spPr>
    </xdr:pic>
    <xdr:clientData/>
  </xdr:twoCellAnchor>
  <xdr:twoCellAnchor>
    <xdr:from>
      <xdr:col>20</xdr:col>
      <xdr:colOff>183155</xdr:colOff>
      <xdr:row>28</xdr:row>
      <xdr:rowOff>42671</xdr:rowOff>
    </xdr:from>
    <xdr:to>
      <xdr:col>24</xdr:col>
      <xdr:colOff>307817</xdr:colOff>
      <xdr:row>37</xdr:row>
      <xdr:rowOff>27160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CAB52619-602F-4DFB-BE1C-75630DC0ECFE}"/>
            </a:ext>
          </a:extLst>
        </xdr:cNvPr>
        <xdr:cNvGrpSpPr/>
      </xdr:nvGrpSpPr>
      <xdr:grpSpPr>
        <a:xfrm>
          <a:off x="17118605" y="5309996"/>
          <a:ext cx="3172662" cy="1803764"/>
          <a:chOff x="18949147" y="5378824"/>
          <a:chExt cx="2465293" cy="1454237"/>
        </a:xfrm>
      </xdr:grpSpPr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55FFDDEA-6FDB-4930-88F6-6FCC12DE504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2"/>
          <a:srcRect t="20273" b="44095"/>
          <a:stretch/>
        </xdr:blipFill>
        <xdr:spPr>
          <a:xfrm>
            <a:off x="18949147" y="5378824"/>
            <a:ext cx="2465293" cy="649941"/>
          </a:xfrm>
          <a:prstGeom prst="rect">
            <a:avLst/>
          </a:prstGeom>
        </xdr:spPr>
      </xdr:pic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A044F5CD-8021-4514-96B7-8750A87932C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2"/>
          <a:srcRect t="56520" r="30454"/>
          <a:stretch/>
        </xdr:blipFill>
        <xdr:spPr>
          <a:xfrm>
            <a:off x="18960353" y="6039970"/>
            <a:ext cx="1714499" cy="793091"/>
          </a:xfrm>
          <a:prstGeom prst="rect">
            <a:avLst/>
          </a:prstGeom>
        </xdr:spPr>
      </xdr:pic>
    </xdr:grpSp>
    <xdr:clientData/>
  </xdr:twoCellAnchor>
  <xdr:twoCellAnchor editAs="oneCell">
    <xdr:from>
      <xdr:col>23</xdr:col>
      <xdr:colOff>494740</xdr:colOff>
      <xdr:row>24</xdr:row>
      <xdr:rowOff>67235</xdr:rowOff>
    </xdr:from>
    <xdr:to>
      <xdr:col>26</xdr:col>
      <xdr:colOff>54774</xdr:colOff>
      <xdr:row>26</xdr:row>
      <xdr:rowOff>90688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6C02C42D-B940-436E-92BA-92906AB86E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t="16638" b="16638"/>
        <a:stretch/>
      </xdr:blipFill>
      <xdr:spPr>
        <a:xfrm>
          <a:off x="18611290" y="4639235"/>
          <a:ext cx="1846034" cy="404454"/>
        </a:xfrm>
        <a:prstGeom prst="rect">
          <a:avLst/>
        </a:prstGeom>
      </xdr:spPr>
    </xdr:pic>
    <xdr:clientData/>
  </xdr:twoCellAnchor>
  <xdr:twoCellAnchor editAs="oneCell">
    <xdr:from>
      <xdr:col>21</xdr:col>
      <xdr:colOff>493058</xdr:colOff>
      <xdr:row>19</xdr:row>
      <xdr:rowOff>179294</xdr:rowOff>
    </xdr:from>
    <xdr:to>
      <xdr:col>23</xdr:col>
      <xdr:colOff>616324</xdr:colOff>
      <xdr:row>24</xdr:row>
      <xdr:rowOff>22413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4AA9BB88-489E-4CF5-AE78-5F1A1CF800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5276" t="39316" r="5928"/>
        <a:stretch/>
      </xdr:blipFill>
      <xdr:spPr>
        <a:xfrm>
          <a:off x="17088970" y="3798794"/>
          <a:ext cx="1647266" cy="79561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22411</xdr:colOff>
      <xdr:row>20</xdr:row>
      <xdr:rowOff>168088</xdr:rowOff>
    </xdr:from>
    <xdr:to>
      <xdr:col>21</xdr:col>
      <xdr:colOff>381001</xdr:colOff>
      <xdr:row>23</xdr:row>
      <xdr:rowOff>33617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F7049D6-DD01-4AFD-B45F-82B3CF4E7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7691" t="5128" r="31903" b="61538"/>
        <a:stretch/>
      </xdr:blipFill>
      <xdr:spPr>
        <a:xfrm>
          <a:off x="15856323" y="3978088"/>
          <a:ext cx="1120590" cy="4370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2793377</xdr:colOff>
      <xdr:row>55</xdr:row>
      <xdr:rowOff>155957</xdr:rowOff>
    </xdr:from>
    <xdr:to>
      <xdr:col>7</xdr:col>
      <xdr:colOff>393345</xdr:colOff>
      <xdr:row>65</xdr:row>
      <xdr:rowOff>72506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1D040D-901B-F174-24E9-F290BEDC8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3377" y="12582907"/>
          <a:ext cx="7194818" cy="1504049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oneCellAnchor>
    <xdr:from>
      <xdr:col>7</xdr:col>
      <xdr:colOff>20148</xdr:colOff>
      <xdr:row>14</xdr:row>
      <xdr:rowOff>76155</xdr:rowOff>
    </xdr:from>
    <xdr:ext cx="3356262" cy="328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F967C971-9306-476B-AD1E-C36C84BFFFEE}"/>
                </a:ext>
              </a:extLst>
            </xdr:cNvPr>
            <xdr:cNvSpPr txBox="1"/>
          </xdr:nvSpPr>
          <xdr:spPr>
            <a:xfrm>
              <a:off x="8487801" y="3346054"/>
              <a:ext cx="3356262" cy="328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60º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</m:e>
                        </m:d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∗1,16∗(60−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𝑇𝑎𝑔𝑢𝑎𝑓𝑟𝑖𝑎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F967C971-9306-476B-AD1E-C36C84BFFFEE}"/>
                </a:ext>
              </a:extLst>
            </xdr:cNvPr>
            <xdr:cNvSpPr txBox="1"/>
          </xdr:nvSpPr>
          <xdr:spPr>
            <a:xfrm>
              <a:off x="8487801" y="3346054"/>
              <a:ext cx="3356262" cy="328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𝑄=(𝐷(60º𝐶)∗1,16∗(60−𝑇𝑎𝑔𝑢𝑎𝑓𝑟𝑖𝑎))/1000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7</xdr:col>
      <xdr:colOff>30799</xdr:colOff>
      <xdr:row>30</xdr:row>
      <xdr:rowOff>80680</xdr:rowOff>
    </xdr:from>
    <xdr:ext cx="3316940" cy="328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571B795-19C5-A032-1392-8AE53A8AE641}"/>
                </a:ext>
              </a:extLst>
            </xdr:cNvPr>
            <xdr:cNvSpPr txBox="1"/>
          </xdr:nvSpPr>
          <xdr:spPr>
            <a:xfrm>
              <a:off x="8498452" y="6822849"/>
              <a:ext cx="3316940" cy="328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60º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</m:e>
                        </m:d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∗1,16∗(60−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𝑇𝑎𝑔𝑢𝑎𝑓𝑟𝑖𝑎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571B795-19C5-A032-1392-8AE53A8AE641}"/>
                </a:ext>
              </a:extLst>
            </xdr:cNvPr>
            <xdr:cNvSpPr txBox="1"/>
          </xdr:nvSpPr>
          <xdr:spPr>
            <a:xfrm>
              <a:off x="8498452" y="6822849"/>
              <a:ext cx="3316940" cy="328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𝑄=(𝐷(60º𝐶)∗1,16∗(60−𝑇𝑎𝑔𝑢𝑎𝑓𝑟𝑖𝑎))/1000</a:t>
              </a:r>
              <a:endParaRPr lang="es-E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576810</xdr:colOff>
      <xdr:row>6</xdr:row>
      <xdr:rowOff>447348</xdr:rowOff>
    </xdr:from>
    <xdr:to>
      <xdr:col>6</xdr:col>
      <xdr:colOff>253034</xdr:colOff>
      <xdr:row>9</xdr:row>
      <xdr:rowOff>155404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7D84B9-AB11-46C8-200A-5DC757A2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6655" y="1746787"/>
          <a:ext cx="1881009" cy="560147"/>
        </a:xfrm>
        <a:prstGeom prst="rect">
          <a:avLst/>
        </a:prstGeom>
      </xdr:spPr>
    </xdr:pic>
    <xdr:clientData/>
  </xdr:twoCellAnchor>
  <xdr:twoCellAnchor editAs="oneCell">
    <xdr:from>
      <xdr:col>4</xdr:col>
      <xdr:colOff>218117</xdr:colOff>
      <xdr:row>24</xdr:row>
      <xdr:rowOff>127814</xdr:rowOff>
    </xdr:from>
    <xdr:to>
      <xdr:col>10</xdr:col>
      <xdr:colOff>86201</xdr:colOff>
      <xdr:row>27</xdr:row>
      <xdr:rowOff>161844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8D5C08-F898-0D68-6EAE-2D4C89974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6702" y="5059289"/>
          <a:ext cx="4277654" cy="577238"/>
        </a:xfrm>
        <a:prstGeom prst="rect">
          <a:avLst/>
        </a:prstGeom>
      </xdr:spPr>
    </xdr:pic>
    <xdr:clientData/>
  </xdr:twoCellAnchor>
  <xdr:twoCellAnchor editAs="oneCell">
    <xdr:from>
      <xdr:col>4</xdr:col>
      <xdr:colOff>10818</xdr:colOff>
      <xdr:row>28</xdr:row>
      <xdr:rowOff>21302</xdr:rowOff>
    </xdr:from>
    <xdr:to>
      <xdr:col>14</xdr:col>
      <xdr:colOff>403514</xdr:colOff>
      <xdr:row>33</xdr:row>
      <xdr:rowOff>159765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24A9F6-B11D-4140-5237-BDA24C6CA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39403" y="5677055"/>
          <a:ext cx="7805886" cy="1065113"/>
        </a:xfrm>
        <a:prstGeom prst="rect">
          <a:avLst/>
        </a:prstGeom>
      </xdr:spPr>
    </xdr:pic>
    <xdr:clientData/>
  </xdr:twoCellAnchor>
  <xdr:twoCellAnchor editAs="oneCell">
    <xdr:from>
      <xdr:col>4</xdr:col>
      <xdr:colOff>6905</xdr:colOff>
      <xdr:row>42</xdr:row>
      <xdr:rowOff>21303</xdr:rowOff>
    </xdr:from>
    <xdr:to>
      <xdr:col>6</xdr:col>
      <xdr:colOff>301152</xdr:colOff>
      <xdr:row>44</xdr:row>
      <xdr:rowOff>146622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BF6CD5-CE77-F9BE-F737-FDD01ABC4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2467" y="8222677"/>
          <a:ext cx="1764103" cy="508760"/>
        </a:xfrm>
        <a:prstGeom prst="rect">
          <a:avLst/>
        </a:prstGeom>
      </xdr:spPr>
    </xdr:pic>
    <xdr:clientData/>
  </xdr:twoCellAnchor>
  <xdr:twoCellAnchor editAs="oneCell">
    <xdr:from>
      <xdr:col>4</xdr:col>
      <xdr:colOff>32631</xdr:colOff>
      <xdr:row>48</xdr:row>
      <xdr:rowOff>106509</xdr:rowOff>
    </xdr:from>
    <xdr:to>
      <xdr:col>7</xdr:col>
      <xdr:colOff>393771</xdr:colOff>
      <xdr:row>54</xdr:row>
      <xdr:rowOff>74284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55A688-C6D6-2D91-C545-ED370C488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61216" y="9394300"/>
          <a:ext cx="2565924" cy="1075493"/>
        </a:xfrm>
        <a:prstGeom prst="rect">
          <a:avLst/>
        </a:prstGeom>
      </xdr:spPr>
    </xdr:pic>
    <xdr:clientData/>
  </xdr:twoCellAnchor>
  <xdr:twoCellAnchor editAs="oneCell">
    <xdr:from>
      <xdr:col>4</xdr:col>
      <xdr:colOff>37219</xdr:colOff>
      <xdr:row>53</xdr:row>
      <xdr:rowOff>121753</xdr:rowOff>
    </xdr:from>
    <xdr:to>
      <xdr:col>7</xdr:col>
      <xdr:colOff>234492</xdr:colOff>
      <xdr:row>60</xdr:row>
      <xdr:rowOff>31955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D52ECD8-7437-F646-C422-864A3E237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5804" y="10314889"/>
          <a:ext cx="2402057" cy="1198989"/>
        </a:xfrm>
        <a:prstGeom prst="rect">
          <a:avLst/>
        </a:prstGeom>
      </xdr:spPr>
    </xdr:pic>
    <xdr:clientData/>
  </xdr:twoCellAnchor>
  <xdr:twoCellAnchor editAs="oneCell">
    <xdr:from>
      <xdr:col>7</xdr:col>
      <xdr:colOff>43447</xdr:colOff>
      <xdr:row>60</xdr:row>
      <xdr:rowOff>74563</xdr:rowOff>
    </xdr:from>
    <xdr:to>
      <xdr:col>9</xdr:col>
      <xdr:colOff>390172</xdr:colOff>
      <xdr:row>67</xdr:row>
      <xdr:rowOff>341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C772DE3-6D5A-5EE0-EBA0-8A0F4093F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76816" y="11535185"/>
          <a:ext cx="1816583" cy="1193264"/>
        </a:xfrm>
        <a:prstGeom prst="rect">
          <a:avLst/>
        </a:prstGeom>
      </xdr:spPr>
    </xdr:pic>
    <xdr:clientData/>
  </xdr:twoCellAnchor>
  <xdr:twoCellAnchor editAs="oneCell">
    <xdr:from>
      <xdr:col>4</xdr:col>
      <xdr:colOff>32123</xdr:colOff>
      <xdr:row>70</xdr:row>
      <xdr:rowOff>51968</xdr:rowOff>
    </xdr:from>
    <xdr:to>
      <xdr:col>5</xdr:col>
      <xdr:colOff>372790</xdr:colOff>
      <xdr:row>73</xdr:row>
      <xdr:rowOff>116108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C48F6E4-4A5E-2505-F3BD-B1FC7BF1E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860708" y="13323283"/>
          <a:ext cx="1075595" cy="649953"/>
        </a:xfrm>
        <a:prstGeom prst="rect">
          <a:avLst/>
        </a:prstGeom>
      </xdr:spPr>
    </xdr:pic>
    <xdr:clientData/>
  </xdr:twoCellAnchor>
  <xdr:twoCellAnchor editAs="oneCell">
    <xdr:from>
      <xdr:col>7</xdr:col>
      <xdr:colOff>110304</xdr:colOff>
      <xdr:row>66</xdr:row>
      <xdr:rowOff>176406</xdr:rowOff>
    </xdr:from>
    <xdr:to>
      <xdr:col>9</xdr:col>
      <xdr:colOff>585814</xdr:colOff>
      <xdr:row>72</xdr:row>
      <xdr:rowOff>16567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4B283DE-14BC-63AD-BDB2-23695FE9D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143673" y="12723444"/>
          <a:ext cx="1945368" cy="958530"/>
        </a:xfrm>
        <a:prstGeom prst="rect">
          <a:avLst/>
        </a:prstGeom>
      </xdr:spPr>
    </xdr:pic>
    <xdr:clientData/>
  </xdr:twoCellAnchor>
  <xdr:twoCellAnchor editAs="oneCell">
    <xdr:from>
      <xdr:col>9</xdr:col>
      <xdr:colOff>415453</xdr:colOff>
      <xdr:row>74</xdr:row>
      <xdr:rowOff>102062</xdr:rowOff>
    </xdr:from>
    <xdr:to>
      <xdr:col>15</xdr:col>
      <xdr:colOff>525866</xdr:colOff>
      <xdr:row>80</xdr:row>
      <xdr:rowOff>31955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48BFDEB-D2AE-489C-BD6E-B7F03D94C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18680" y="14140258"/>
          <a:ext cx="4583890" cy="1016309"/>
        </a:xfrm>
        <a:prstGeom prst="rect">
          <a:avLst/>
        </a:prstGeom>
      </xdr:spPr>
    </xdr:pic>
    <xdr:clientData/>
  </xdr:twoCellAnchor>
  <xdr:twoCellAnchor editAs="oneCell">
    <xdr:from>
      <xdr:col>3</xdr:col>
      <xdr:colOff>149360</xdr:colOff>
      <xdr:row>74</xdr:row>
      <xdr:rowOff>21302</xdr:rowOff>
    </xdr:from>
    <xdr:to>
      <xdr:col>9</xdr:col>
      <xdr:colOff>287580</xdr:colOff>
      <xdr:row>82</xdr:row>
      <xdr:rowOff>43916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3CA888E-6FC4-469A-B5AD-73F454FD3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243016" y="14059498"/>
          <a:ext cx="4547791" cy="1471169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2C40-F44D-4387-910D-AC0DF4206736}">
  <sheetPr>
    <tabColor theme="2" tint="-9.9978637043366805E-2"/>
  </sheetPr>
  <dimension ref="B14:I19"/>
  <sheetViews>
    <sheetView showGridLines="0" tabSelected="1" workbookViewId="0"/>
  </sheetViews>
  <sheetFormatPr baseColWidth="10" defaultRowHeight="15" x14ac:dyDescent="0.25"/>
  <sheetData>
    <row r="14" spans="4:9" ht="59.25" x14ac:dyDescent="0.9">
      <c r="D14" s="150" t="s">
        <v>435</v>
      </c>
      <c r="E14" s="150"/>
      <c r="F14" s="150"/>
      <c r="G14" s="150"/>
      <c r="H14" s="150"/>
      <c r="I14" s="150"/>
    </row>
    <row r="15" spans="4:9" ht="23.65" x14ac:dyDescent="0.4">
      <c r="D15" s="149" t="s">
        <v>455</v>
      </c>
      <c r="E15" s="149"/>
      <c r="F15" s="149"/>
      <c r="G15" s="149"/>
      <c r="H15" s="149"/>
      <c r="I15" s="149"/>
    </row>
    <row r="19" spans="2:9" ht="18.75" x14ac:dyDescent="0.3">
      <c r="B19" s="44" t="s">
        <v>436</v>
      </c>
      <c r="I19" s="44" t="s">
        <v>437</v>
      </c>
    </row>
  </sheetData>
  <sheetProtection sheet="1" objects="1" scenarios="1" insertColumns="0" insertRows="0" deleteColumns="0" deleteRows="0"/>
  <mergeCells count="2">
    <mergeCell ref="D15:I15"/>
    <mergeCell ref="D14:I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2C6D-9102-48E4-96A9-B702900DE420}">
  <sheetPr>
    <tabColor theme="5" tint="0.59999389629810485"/>
  </sheetPr>
  <dimension ref="A2:XFB867"/>
  <sheetViews>
    <sheetView workbookViewId="0"/>
  </sheetViews>
  <sheetFormatPr baseColWidth="10" defaultColWidth="11.42578125" defaultRowHeight="15" x14ac:dyDescent="0.25"/>
  <cols>
    <col min="1" max="2" width="11.42578125" style="38" customWidth="1"/>
    <col min="3" max="3" width="7.85546875" style="38" customWidth="1"/>
    <col min="4" max="7" width="11.42578125" style="38" customWidth="1"/>
    <col min="8" max="8" width="12.5703125" style="38" bestFit="1" customWidth="1"/>
    <col min="9" max="13" width="11.42578125" style="38" customWidth="1"/>
    <col min="14" max="14" width="12.7109375" style="38" bestFit="1" customWidth="1"/>
    <col min="15" max="860" width="11.42578125" style="38" customWidth="1"/>
    <col min="861" max="865" width="11.42578125" style="39" hidden="1" customWidth="1"/>
    <col min="866" max="877" width="11.42578125" style="38" customWidth="1"/>
    <col min="878" max="16383" width="11.42578125" style="40" customWidth="1"/>
    <col min="16384" max="16384" width="11.42578125" style="40"/>
  </cols>
  <sheetData>
    <row r="2" spans="1:1730 16381:16382" ht="15.75" x14ac:dyDescent="0.25">
      <c r="A2" s="157" t="s">
        <v>127</v>
      </c>
      <c r="B2" s="158"/>
      <c r="C2" s="159"/>
    </row>
    <row r="3" spans="1:1730 16381:16382" ht="14.25" x14ac:dyDescent="0.25">
      <c r="A3" s="181" t="s">
        <v>96</v>
      </c>
      <c r="B3" s="182"/>
      <c r="C3" s="183"/>
      <c r="D3" s="98" t="s">
        <v>95</v>
      </c>
      <c r="E3" s="187" t="s">
        <v>97</v>
      </c>
      <c r="F3" s="188"/>
      <c r="G3" s="189"/>
    </row>
    <row r="4" spans="1:1730 16381:16382" x14ac:dyDescent="0.25">
      <c r="A4" s="175" t="s">
        <v>221</v>
      </c>
      <c r="B4" s="176"/>
      <c r="C4" s="177"/>
      <c r="D4" s="120" t="s">
        <v>47</v>
      </c>
      <c r="E4" s="190" t="s">
        <v>160</v>
      </c>
      <c r="F4" s="191"/>
      <c r="G4" s="192"/>
      <c r="I4" s="41"/>
    </row>
    <row r="5" spans="1:1730 16381:16382" ht="14.25" x14ac:dyDescent="0.25">
      <c r="A5" s="175" t="s">
        <v>268</v>
      </c>
      <c r="B5" s="176"/>
      <c r="C5" s="177"/>
      <c r="D5" s="120" t="s">
        <v>44</v>
      </c>
      <c r="E5" s="169">
        <f>INDEX(Aux!AR5:AR56,MATCH(E4,Aux!AU5:AU56,0),1)</f>
        <v>0</v>
      </c>
      <c r="F5" s="170"/>
      <c r="G5" s="171"/>
      <c r="I5" s="41"/>
    </row>
    <row r="6" spans="1:1730 16381:16382" x14ac:dyDescent="0.25">
      <c r="A6" s="175" t="s">
        <v>223</v>
      </c>
      <c r="B6" s="176"/>
      <c r="C6" s="177"/>
      <c r="D6" s="120" t="s">
        <v>37</v>
      </c>
      <c r="E6" s="169">
        <f>INDEX(Aux!AW5:AW56,MATCH(E4,Aux!AU5:AU56,0),1)</f>
        <v>43.4</v>
      </c>
      <c r="F6" s="170"/>
      <c r="G6" s="171"/>
      <c r="I6" s="41"/>
    </row>
    <row r="7" spans="1:1730 16381:16382" x14ac:dyDescent="0.25">
      <c r="A7" s="175" t="s">
        <v>224</v>
      </c>
      <c r="B7" s="176"/>
      <c r="C7" s="177"/>
      <c r="D7" s="120" t="s">
        <v>37</v>
      </c>
      <c r="E7" s="169" t="str">
        <f>INDEX(Aux!AX5:AX56,MATCH(E4,Aux!AU5:AU56,0),1)</f>
        <v>8.4 W</v>
      </c>
      <c r="F7" s="170"/>
      <c r="G7" s="171"/>
      <c r="I7" s="41"/>
    </row>
    <row r="8" spans="1:1730 16381:16382" x14ac:dyDescent="0.25">
      <c r="A8" s="178" t="s">
        <v>267</v>
      </c>
      <c r="B8" s="179"/>
      <c r="C8" s="180"/>
      <c r="D8" s="61" t="s">
        <v>3</v>
      </c>
      <c r="E8" s="169">
        <f>INDEX(Aux!AY5:AY56,MATCH(E4,Aux!AU5:AU56,0),1)</f>
        <v>-9</v>
      </c>
      <c r="F8" s="170"/>
      <c r="G8" s="171"/>
      <c r="I8" s="41"/>
    </row>
    <row r="9" spans="1:1730 16381:16382" ht="14.25" x14ac:dyDescent="0.25">
      <c r="E9" s="115"/>
      <c r="F9" s="115"/>
      <c r="G9" s="115"/>
      <c r="I9" s="41"/>
    </row>
    <row r="10" spans="1:1730 16381:16382" ht="14.25" x14ac:dyDescent="0.25">
      <c r="E10" s="115"/>
      <c r="F10" s="115"/>
      <c r="G10" s="115"/>
      <c r="I10" s="41"/>
    </row>
    <row r="11" spans="1:1730 16381:16382" ht="15.75" x14ac:dyDescent="0.25">
      <c r="A11" s="157" t="s">
        <v>101</v>
      </c>
      <c r="B11" s="158"/>
      <c r="C11" s="159"/>
      <c r="E11" s="115"/>
      <c r="F11" s="115"/>
      <c r="G11" s="115"/>
      <c r="I11" s="41"/>
      <c r="AGC11" s="39" t="s">
        <v>125</v>
      </c>
      <c r="AGD11" s="39">
        <v>28</v>
      </c>
    </row>
    <row r="12" spans="1:1730 16381:16382" ht="14.25" x14ac:dyDescent="0.25">
      <c r="A12" s="181" t="s">
        <v>96</v>
      </c>
      <c r="B12" s="182"/>
      <c r="C12" s="183"/>
      <c r="D12" s="98" t="s">
        <v>95</v>
      </c>
      <c r="E12" s="184" t="s">
        <v>97</v>
      </c>
      <c r="F12" s="185"/>
      <c r="G12" s="186"/>
      <c r="I12" s="41"/>
    </row>
    <row r="13" spans="1:1730 16381:16382" ht="15" customHeight="1" x14ac:dyDescent="0.25">
      <c r="A13" s="175" t="s">
        <v>102</v>
      </c>
      <c r="B13" s="176"/>
      <c r="C13" s="177"/>
      <c r="D13" s="62" t="s">
        <v>47</v>
      </c>
      <c r="E13" s="166" t="s">
        <v>125</v>
      </c>
      <c r="F13" s="167"/>
      <c r="G13" s="168"/>
      <c r="H13" s="38" t="s">
        <v>433</v>
      </c>
      <c r="I13" s="41"/>
      <c r="AGC13" s="39" t="s">
        <v>103</v>
      </c>
      <c r="AGD13" s="39">
        <v>55</v>
      </c>
      <c r="XFB13" s="42" t="str">
        <f>E13</f>
        <v>Residencial privado</v>
      </c>
    </row>
    <row r="14" spans="1:1730 16381:16382" ht="14.25" x14ac:dyDescent="0.25">
      <c r="A14" s="175" t="s">
        <v>71</v>
      </c>
      <c r="B14" s="176"/>
      <c r="C14" s="177"/>
      <c r="D14" s="62" t="s">
        <v>47</v>
      </c>
      <c r="E14" s="166">
        <v>14</v>
      </c>
      <c r="F14" s="167"/>
      <c r="G14" s="168"/>
      <c r="H14" s="38" t="s">
        <v>433</v>
      </c>
      <c r="I14" s="41"/>
      <c r="AGC14" s="39" t="s">
        <v>104</v>
      </c>
      <c r="AGD14" s="39">
        <v>41</v>
      </c>
    </row>
    <row r="15" spans="1:1730 16381:16382" ht="14.25" x14ac:dyDescent="0.25">
      <c r="A15" s="175" t="s">
        <v>72</v>
      </c>
      <c r="B15" s="176"/>
      <c r="C15" s="177"/>
      <c r="D15" s="62" t="s">
        <v>47</v>
      </c>
      <c r="E15" s="166">
        <v>4</v>
      </c>
      <c r="F15" s="167"/>
      <c r="G15" s="168"/>
      <c r="H15" s="38" t="s">
        <v>433</v>
      </c>
      <c r="I15" s="41"/>
      <c r="AGC15" s="39" t="s">
        <v>105</v>
      </c>
      <c r="AGD15" s="39">
        <v>69</v>
      </c>
      <c r="AGT15" s="40">
        <v>1</v>
      </c>
      <c r="AGU15" s="40">
        <v>2</v>
      </c>
      <c r="AGV15" s="40">
        <v>3</v>
      </c>
      <c r="AGW15" s="40">
        <v>4</v>
      </c>
      <c r="AGX15" s="40">
        <v>5</v>
      </c>
      <c r="AGY15" s="40">
        <v>6</v>
      </c>
      <c r="AGZ15" s="40">
        <v>7</v>
      </c>
      <c r="AHA15" s="40">
        <v>8</v>
      </c>
      <c r="AHB15" s="40">
        <v>9</v>
      </c>
      <c r="AHC15" s="40">
        <v>10</v>
      </c>
      <c r="AHD15" s="40">
        <v>11</v>
      </c>
      <c r="AHE15" s="40">
        <v>12</v>
      </c>
      <c r="AHF15" s="40">
        <v>13</v>
      </c>
      <c r="AHG15" s="40">
        <v>14</v>
      </c>
      <c r="AHH15" s="40">
        <v>15</v>
      </c>
      <c r="AHI15" s="40">
        <v>16</v>
      </c>
      <c r="AHJ15" s="40">
        <v>17</v>
      </c>
      <c r="AHK15" s="40">
        <v>18</v>
      </c>
      <c r="AHL15" s="40">
        <v>19</v>
      </c>
      <c r="AHM15" s="40">
        <v>20</v>
      </c>
      <c r="AHN15" s="40">
        <v>21</v>
      </c>
      <c r="AHO15" s="40">
        <v>22</v>
      </c>
      <c r="AHP15" s="40">
        <v>23</v>
      </c>
      <c r="AHQ15" s="40">
        <v>24</v>
      </c>
      <c r="AHR15" s="40">
        <v>25</v>
      </c>
      <c r="AHS15" s="40">
        <v>26</v>
      </c>
      <c r="AHT15" s="40">
        <v>27</v>
      </c>
      <c r="AHU15" s="40">
        <v>28</v>
      </c>
      <c r="AHV15" s="40">
        <v>29</v>
      </c>
      <c r="AHW15" s="40">
        <v>30</v>
      </c>
      <c r="AHX15" s="40">
        <v>31</v>
      </c>
      <c r="AHY15" s="40">
        <v>32</v>
      </c>
      <c r="AHZ15" s="40">
        <v>33</v>
      </c>
      <c r="AIA15" s="40">
        <v>34</v>
      </c>
      <c r="AIB15" s="40">
        <v>35</v>
      </c>
      <c r="AIC15" s="40">
        <v>36</v>
      </c>
      <c r="AID15" s="40">
        <v>37</v>
      </c>
      <c r="AIE15" s="40">
        <v>38</v>
      </c>
      <c r="AIF15" s="40">
        <v>39</v>
      </c>
      <c r="AIG15" s="40">
        <v>40</v>
      </c>
      <c r="AIH15" s="40">
        <v>41</v>
      </c>
      <c r="AII15" s="40">
        <v>42</v>
      </c>
      <c r="AIJ15" s="40">
        <v>43</v>
      </c>
      <c r="AIK15" s="40">
        <v>44</v>
      </c>
      <c r="AIL15" s="40">
        <v>45</v>
      </c>
      <c r="AIM15" s="40">
        <v>46</v>
      </c>
      <c r="AIN15" s="40">
        <v>47</v>
      </c>
      <c r="AIO15" s="40">
        <v>48</v>
      </c>
      <c r="AIP15" s="40">
        <v>49</v>
      </c>
      <c r="AIQ15" s="40">
        <v>50</v>
      </c>
      <c r="AIR15" s="40">
        <v>51</v>
      </c>
      <c r="AIS15" s="40">
        <v>52</v>
      </c>
      <c r="AIT15" s="40">
        <v>53</v>
      </c>
      <c r="AIU15" s="40">
        <v>54</v>
      </c>
      <c r="AIV15" s="40">
        <v>55</v>
      </c>
      <c r="AIW15" s="40">
        <v>56</v>
      </c>
      <c r="AIX15" s="40">
        <v>57</v>
      </c>
      <c r="AIY15" s="40">
        <v>58</v>
      </c>
      <c r="AIZ15" s="40">
        <v>59</v>
      </c>
      <c r="AJA15" s="40">
        <v>60</v>
      </c>
      <c r="AJB15" s="40">
        <v>61</v>
      </c>
      <c r="AJC15" s="40">
        <v>62</v>
      </c>
      <c r="AJD15" s="40">
        <v>63</v>
      </c>
      <c r="AJE15" s="40">
        <v>64</v>
      </c>
      <c r="AJF15" s="40">
        <v>65</v>
      </c>
      <c r="AJG15" s="40">
        <v>66</v>
      </c>
      <c r="AJH15" s="40">
        <v>67</v>
      </c>
      <c r="AJI15" s="40">
        <v>68</v>
      </c>
      <c r="AJJ15" s="40">
        <v>69</v>
      </c>
      <c r="AJK15" s="40">
        <v>70</v>
      </c>
      <c r="AJL15" s="40">
        <v>71</v>
      </c>
      <c r="AJM15" s="40">
        <v>72</v>
      </c>
      <c r="AJN15" s="40">
        <v>73</v>
      </c>
      <c r="AJO15" s="40">
        <v>74</v>
      </c>
      <c r="AJP15" s="40">
        <v>75</v>
      </c>
      <c r="AJQ15" s="40">
        <v>76</v>
      </c>
      <c r="AJR15" s="40">
        <v>77</v>
      </c>
      <c r="AJS15" s="40">
        <v>78</v>
      </c>
      <c r="AJT15" s="40">
        <v>79</v>
      </c>
      <c r="AJU15" s="40">
        <v>80</v>
      </c>
      <c r="AJV15" s="40">
        <v>81</v>
      </c>
      <c r="AJW15" s="40">
        <v>82</v>
      </c>
      <c r="AJX15" s="40">
        <v>83</v>
      </c>
      <c r="AJY15" s="40">
        <v>84</v>
      </c>
      <c r="AJZ15" s="40">
        <v>85</v>
      </c>
      <c r="AKA15" s="40">
        <v>86</v>
      </c>
      <c r="AKB15" s="40">
        <v>87</v>
      </c>
      <c r="AKC15" s="40">
        <v>88</v>
      </c>
      <c r="AKD15" s="40">
        <v>89</v>
      </c>
      <c r="AKE15" s="40">
        <v>90</v>
      </c>
      <c r="AKF15" s="40">
        <v>91</v>
      </c>
      <c r="AKG15" s="40">
        <v>92</v>
      </c>
      <c r="AKH15" s="40">
        <v>93</v>
      </c>
      <c r="AKI15" s="40">
        <v>94</v>
      </c>
      <c r="AKJ15" s="40">
        <v>95</v>
      </c>
      <c r="AKK15" s="40">
        <v>96</v>
      </c>
      <c r="AKL15" s="40">
        <v>97</v>
      </c>
      <c r="AKM15" s="40">
        <v>98</v>
      </c>
      <c r="AKN15" s="40">
        <v>99</v>
      </c>
      <c r="AKO15" s="40">
        <v>100</v>
      </c>
      <c r="AKP15" s="40">
        <v>101</v>
      </c>
      <c r="AKQ15" s="40">
        <v>102</v>
      </c>
      <c r="AKR15" s="40">
        <v>103</v>
      </c>
      <c r="AKS15" s="40">
        <v>104</v>
      </c>
      <c r="AKT15" s="40">
        <v>105</v>
      </c>
      <c r="AKU15" s="40">
        <v>106</v>
      </c>
      <c r="AKV15" s="40">
        <v>107</v>
      </c>
      <c r="AKW15" s="40">
        <v>108</v>
      </c>
      <c r="AKX15" s="40">
        <v>109</v>
      </c>
      <c r="AKY15" s="40">
        <v>110</v>
      </c>
      <c r="AKZ15" s="40">
        <v>111</v>
      </c>
      <c r="ALA15" s="40">
        <v>112</v>
      </c>
      <c r="ALB15" s="40">
        <v>113</v>
      </c>
      <c r="ALC15" s="40">
        <v>114</v>
      </c>
      <c r="ALD15" s="40">
        <v>115</v>
      </c>
      <c r="ALE15" s="40">
        <v>116</v>
      </c>
      <c r="ALF15" s="40">
        <v>117</v>
      </c>
      <c r="ALG15" s="40">
        <v>118</v>
      </c>
      <c r="ALH15" s="40">
        <v>119</v>
      </c>
      <c r="ALI15" s="40">
        <v>120</v>
      </c>
      <c r="ALJ15" s="40">
        <v>121</v>
      </c>
      <c r="ALK15" s="40">
        <v>122</v>
      </c>
      <c r="ALL15" s="40">
        <v>123</v>
      </c>
      <c r="ALM15" s="40">
        <v>124</v>
      </c>
      <c r="ALN15" s="40">
        <v>125</v>
      </c>
      <c r="ALO15" s="40">
        <v>126</v>
      </c>
      <c r="ALP15" s="40">
        <v>127</v>
      </c>
      <c r="ALQ15" s="40">
        <v>128</v>
      </c>
      <c r="ALR15" s="40">
        <v>129</v>
      </c>
      <c r="ALS15" s="40">
        <v>130</v>
      </c>
      <c r="ALT15" s="40">
        <v>131</v>
      </c>
      <c r="ALU15" s="40">
        <v>132</v>
      </c>
      <c r="ALV15" s="40">
        <v>133</v>
      </c>
      <c r="ALW15" s="40">
        <v>134</v>
      </c>
      <c r="ALX15" s="40">
        <v>135</v>
      </c>
      <c r="ALY15" s="40">
        <v>136</v>
      </c>
      <c r="ALZ15" s="40">
        <v>137</v>
      </c>
      <c r="AMA15" s="40">
        <v>138</v>
      </c>
      <c r="AMB15" s="40">
        <v>139</v>
      </c>
      <c r="AMC15" s="40">
        <v>140</v>
      </c>
      <c r="AMD15" s="40">
        <v>141</v>
      </c>
      <c r="AME15" s="40">
        <v>142</v>
      </c>
      <c r="AMF15" s="40">
        <v>143</v>
      </c>
      <c r="AMG15" s="40">
        <v>144</v>
      </c>
      <c r="AMH15" s="40">
        <v>145</v>
      </c>
      <c r="AMI15" s="40">
        <v>146</v>
      </c>
      <c r="AMJ15" s="40">
        <v>147</v>
      </c>
      <c r="AMK15" s="40">
        <v>148</v>
      </c>
      <c r="AML15" s="40">
        <v>149</v>
      </c>
      <c r="AMM15" s="40">
        <v>150</v>
      </c>
      <c r="AMN15" s="40">
        <v>151</v>
      </c>
      <c r="AMO15" s="40">
        <v>152</v>
      </c>
      <c r="AMP15" s="40">
        <v>153</v>
      </c>
      <c r="AMQ15" s="40">
        <v>154</v>
      </c>
      <c r="AMR15" s="40">
        <v>155</v>
      </c>
      <c r="AMS15" s="40">
        <v>156</v>
      </c>
      <c r="AMT15" s="40">
        <v>157</v>
      </c>
      <c r="AMU15" s="40">
        <v>158</v>
      </c>
      <c r="AMV15" s="40">
        <v>159</v>
      </c>
      <c r="AMW15" s="40">
        <v>160</v>
      </c>
      <c r="AMX15" s="40">
        <v>161</v>
      </c>
      <c r="AMY15" s="40">
        <v>162</v>
      </c>
      <c r="AMZ15" s="40">
        <v>163</v>
      </c>
      <c r="ANA15" s="40">
        <v>164</v>
      </c>
      <c r="ANB15" s="40">
        <v>165</v>
      </c>
      <c r="ANC15" s="40">
        <v>166</v>
      </c>
      <c r="AND15" s="40">
        <v>167</v>
      </c>
      <c r="ANE15" s="40">
        <v>168</v>
      </c>
      <c r="ANF15" s="40">
        <v>169</v>
      </c>
      <c r="ANG15" s="40">
        <v>170</v>
      </c>
      <c r="ANH15" s="40">
        <v>171</v>
      </c>
      <c r="ANI15" s="40">
        <v>172</v>
      </c>
      <c r="ANJ15" s="40">
        <v>173</v>
      </c>
      <c r="ANK15" s="40">
        <v>174</v>
      </c>
      <c r="ANL15" s="40">
        <v>175</v>
      </c>
      <c r="ANM15" s="40">
        <v>176</v>
      </c>
      <c r="ANN15" s="40">
        <v>177</v>
      </c>
      <c r="ANO15" s="40">
        <v>178</v>
      </c>
      <c r="ANP15" s="40">
        <v>179</v>
      </c>
      <c r="ANQ15" s="40">
        <v>180</v>
      </c>
      <c r="ANR15" s="40">
        <v>181</v>
      </c>
      <c r="ANS15" s="40">
        <v>182</v>
      </c>
      <c r="ANT15" s="40">
        <v>183</v>
      </c>
      <c r="ANU15" s="40">
        <v>184</v>
      </c>
      <c r="ANV15" s="40">
        <v>185</v>
      </c>
      <c r="ANW15" s="40">
        <v>186</v>
      </c>
      <c r="ANX15" s="40">
        <v>187</v>
      </c>
      <c r="ANY15" s="40">
        <v>188</v>
      </c>
      <c r="ANZ15" s="40">
        <v>189</v>
      </c>
      <c r="AOA15" s="40">
        <v>190</v>
      </c>
      <c r="AOB15" s="40">
        <v>191</v>
      </c>
      <c r="AOC15" s="40">
        <v>192</v>
      </c>
      <c r="AOD15" s="40">
        <v>193</v>
      </c>
      <c r="AOE15" s="40">
        <v>194</v>
      </c>
      <c r="AOF15" s="40">
        <v>195</v>
      </c>
      <c r="AOG15" s="40">
        <v>196</v>
      </c>
      <c r="AOH15" s="40">
        <v>197</v>
      </c>
      <c r="AOI15" s="40">
        <v>198</v>
      </c>
      <c r="AOJ15" s="40">
        <v>199</v>
      </c>
      <c r="AOK15" s="40">
        <v>200</v>
      </c>
      <c r="AOL15" s="40">
        <v>201</v>
      </c>
      <c r="AOM15" s="40">
        <v>202</v>
      </c>
      <c r="AON15" s="40">
        <v>203</v>
      </c>
      <c r="AOO15" s="40">
        <v>204</v>
      </c>
      <c r="AOP15" s="40">
        <v>205</v>
      </c>
      <c r="AOQ15" s="40">
        <v>206</v>
      </c>
      <c r="AOR15" s="40">
        <v>207</v>
      </c>
      <c r="AOS15" s="40">
        <v>208</v>
      </c>
      <c r="AOT15" s="40">
        <v>209</v>
      </c>
      <c r="AOU15" s="40">
        <v>210</v>
      </c>
      <c r="AOV15" s="40">
        <v>211</v>
      </c>
      <c r="AOW15" s="40">
        <v>212</v>
      </c>
      <c r="AOX15" s="40">
        <v>213</v>
      </c>
      <c r="AOY15" s="40">
        <v>214</v>
      </c>
      <c r="AOZ15" s="40">
        <v>215</v>
      </c>
      <c r="APA15" s="40">
        <v>216</v>
      </c>
      <c r="APB15" s="40">
        <v>217</v>
      </c>
      <c r="APC15" s="40">
        <v>218</v>
      </c>
      <c r="APD15" s="40">
        <v>219</v>
      </c>
      <c r="APE15" s="40">
        <v>220</v>
      </c>
      <c r="APF15" s="40">
        <v>221</v>
      </c>
      <c r="APG15" s="40">
        <v>222</v>
      </c>
      <c r="APH15" s="40">
        <v>223</v>
      </c>
      <c r="API15" s="40">
        <v>224</v>
      </c>
      <c r="APJ15" s="40">
        <v>225</v>
      </c>
      <c r="APK15" s="40">
        <v>226</v>
      </c>
      <c r="APL15" s="40">
        <v>227</v>
      </c>
      <c r="APM15" s="40">
        <v>228</v>
      </c>
      <c r="APN15" s="40">
        <v>229</v>
      </c>
      <c r="APO15" s="40">
        <v>230</v>
      </c>
      <c r="APP15" s="40">
        <v>231</v>
      </c>
      <c r="APQ15" s="40">
        <v>232</v>
      </c>
      <c r="APR15" s="40">
        <v>233</v>
      </c>
      <c r="APS15" s="40">
        <v>234</v>
      </c>
      <c r="APT15" s="40">
        <v>235</v>
      </c>
      <c r="APU15" s="40">
        <v>236</v>
      </c>
      <c r="APV15" s="40">
        <v>237</v>
      </c>
      <c r="APW15" s="40">
        <v>238</v>
      </c>
      <c r="APX15" s="40">
        <v>239</v>
      </c>
      <c r="APY15" s="40">
        <v>240</v>
      </c>
      <c r="APZ15" s="40">
        <v>241</v>
      </c>
      <c r="AQA15" s="40">
        <v>242</v>
      </c>
      <c r="AQB15" s="40">
        <v>243</v>
      </c>
      <c r="AQC15" s="40">
        <v>244</v>
      </c>
      <c r="AQD15" s="40">
        <v>245</v>
      </c>
      <c r="AQE15" s="40">
        <v>246</v>
      </c>
      <c r="AQF15" s="40">
        <v>247</v>
      </c>
      <c r="AQG15" s="40">
        <v>248</v>
      </c>
      <c r="AQH15" s="40">
        <v>249</v>
      </c>
      <c r="AQI15" s="40">
        <v>250</v>
      </c>
      <c r="AQJ15" s="40">
        <v>251</v>
      </c>
      <c r="AQK15" s="40">
        <v>252</v>
      </c>
      <c r="AQL15" s="40">
        <v>253</v>
      </c>
      <c r="AQM15" s="40">
        <v>254</v>
      </c>
      <c r="AQN15" s="40">
        <v>255</v>
      </c>
      <c r="AQO15" s="40">
        <v>256</v>
      </c>
      <c r="AQP15" s="40">
        <v>257</v>
      </c>
      <c r="AQQ15" s="40">
        <v>258</v>
      </c>
      <c r="AQR15" s="40">
        <v>259</v>
      </c>
      <c r="AQS15" s="40">
        <v>260</v>
      </c>
      <c r="AQT15" s="40">
        <v>261</v>
      </c>
      <c r="AQU15" s="40">
        <v>262</v>
      </c>
      <c r="AQV15" s="40">
        <v>263</v>
      </c>
      <c r="AQW15" s="40">
        <v>264</v>
      </c>
      <c r="AQX15" s="40">
        <v>265</v>
      </c>
      <c r="AQY15" s="40">
        <v>266</v>
      </c>
      <c r="AQZ15" s="40">
        <v>267</v>
      </c>
      <c r="ARA15" s="40">
        <v>268</v>
      </c>
      <c r="ARB15" s="40">
        <v>269</v>
      </c>
      <c r="ARC15" s="40">
        <v>270</v>
      </c>
      <c r="ARD15" s="40">
        <v>271</v>
      </c>
      <c r="ARE15" s="40">
        <v>272</v>
      </c>
      <c r="ARF15" s="40">
        <v>273</v>
      </c>
      <c r="ARG15" s="40">
        <v>274</v>
      </c>
      <c r="ARH15" s="40">
        <v>275</v>
      </c>
      <c r="ARI15" s="40">
        <v>276</v>
      </c>
      <c r="ARJ15" s="40">
        <v>277</v>
      </c>
      <c r="ARK15" s="40">
        <v>278</v>
      </c>
      <c r="ARL15" s="40">
        <v>279</v>
      </c>
      <c r="ARM15" s="40">
        <v>280</v>
      </c>
      <c r="ARN15" s="40">
        <v>281</v>
      </c>
      <c r="ARO15" s="40">
        <v>282</v>
      </c>
      <c r="ARP15" s="40">
        <v>283</v>
      </c>
      <c r="ARQ15" s="40">
        <v>284</v>
      </c>
      <c r="ARR15" s="40">
        <v>285</v>
      </c>
      <c r="ARS15" s="40">
        <v>286</v>
      </c>
      <c r="ART15" s="40">
        <v>287</v>
      </c>
      <c r="ARU15" s="40">
        <v>288</v>
      </c>
      <c r="ARV15" s="40">
        <v>289</v>
      </c>
      <c r="ARW15" s="40">
        <v>290</v>
      </c>
      <c r="ARX15" s="40">
        <v>291</v>
      </c>
      <c r="ARY15" s="40">
        <v>292</v>
      </c>
      <c r="ARZ15" s="40">
        <v>293</v>
      </c>
      <c r="ASA15" s="40">
        <v>294</v>
      </c>
      <c r="ASB15" s="40">
        <v>295</v>
      </c>
      <c r="ASC15" s="40">
        <v>296</v>
      </c>
      <c r="ASD15" s="40">
        <v>297</v>
      </c>
      <c r="ASE15" s="40">
        <v>298</v>
      </c>
      <c r="ASF15" s="40">
        <v>299</v>
      </c>
      <c r="ASG15" s="40">
        <v>300</v>
      </c>
      <c r="ASH15" s="40">
        <v>301</v>
      </c>
      <c r="ASI15" s="40">
        <v>302</v>
      </c>
      <c r="ASJ15" s="40">
        <v>303</v>
      </c>
      <c r="ASK15" s="40">
        <v>304</v>
      </c>
      <c r="ASL15" s="40">
        <v>305</v>
      </c>
      <c r="ASM15" s="40">
        <v>306</v>
      </c>
      <c r="ASN15" s="40">
        <v>307</v>
      </c>
      <c r="ASO15" s="40">
        <v>308</v>
      </c>
      <c r="ASP15" s="40">
        <v>309</v>
      </c>
      <c r="ASQ15" s="40">
        <v>310</v>
      </c>
      <c r="ASR15" s="40">
        <v>311</v>
      </c>
      <c r="ASS15" s="40">
        <v>312</v>
      </c>
      <c r="AST15" s="40">
        <v>313</v>
      </c>
      <c r="ASU15" s="40">
        <v>314</v>
      </c>
      <c r="ASV15" s="40">
        <v>315</v>
      </c>
      <c r="ASW15" s="40">
        <v>316</v>
      </c>
      <c r="ASX15" s="40">
        <v>317</v>
      </c>
      <c r="ASY15" s="40">
        <v>318</v>
      </c>
      <c r="ASZ15" s="40">
        <v>319</v>
      </c>
      <c r="ATA15" s="40">
        <v>320</v>
      </c>
      <c r="ATB15" s="40">
        <v>321</v>
      </c>
      <c r="ATC15" s="40">
        <v>322</v>
      </c>
      <c r="ATD15" s="40">
        <v>323</v>
      </c>
      <c r="ATE15" s="40">
        <v>324</v>
      </c>
      <c r="ATF15" s="40">
        <v>325</v>
      </c>
      <c r="ATG15" s="40">
        <v>326</v>
      </c>
      <c r="ATH15" s="40">
        <v>327</v>
      </c>
      <c r="ATI15" s="40">
        <v>328</v>
      </c>
      <c r="ATJ15" s="40">
        <v>329</v>
      </c>
      <c r="ATK15" s="40">
        <v>330</v>
      </c>
      <c r="ATL15" s="40">
        <v>331</v>
      </c>
      <c r="ATM15" s="40">
        <v>332</v>
      </c>
      <c r="ATN15" s="40">
        <v>333</v>
      </c>
      <c r="ATO15" s="40">
        <v>334</v>
      </c>
      <c r="ATP15" s="40">
        <v>335</v>
      </c>
      <c r="ATQ15" s="40">
        <v>336</v>
      </c>
      <c r="ATR15" s="40">
        <v>337</v>
      </c>
      <c r="ATS15" s="40">
        <v>338</v>
      </c>
      <c r="ATT15" s="40">
        <v>339</v>
      </c>
      <c r="ATU15" s="40">
        <v>340</v>
      </c>
      <c r="ATV15" s="40">
        <v>341</v>
      </c>
      <c r="ATW15" s="40">
        <v>342</v>
      </c>
      <c r="ATX15" s="40">
        <v>343</v>
      </c>
      <c r="ATY15" s="40">
        <v>344</v>
      </c>
      <c r="ATZ15" s="40">
        <v>345</v>
      </c>
      <c r="AUA15" s="40">
        <v>346</v>
      </c>
      <c r="AUB15" s="40">
        <v>347</v>
      </c>
      <c r="AUC15" s="40">
        <v>348</v>
      </c>
      <c r="AUD15" s="40">
        <v>349</v>
      </c>
      <c r="AUE15" s="40">
        <v>350</v>
      </c>
      <c r="AUF15" s="40">
        <v>351</v>
      </c>
      <c r="AUG15" s="40">
        <v>352</v>
      </c>
      <c r="AUH15" s="40">
        <v>353</v>
      </c>
      <c r="AUI15" s="40">
        <v>354</v>
      </c>
      <c r="AUJ15" s="40">
        <v>355</v>
      </c>
      <c r="AUK15" s="40">
        <v>356</v>
      </c>
      <c r="AUL15" s="40">
        <v>357</v>
      </c>
      <c r="AUM15" s="40">
        <v>358</v>
      </c>
      <c r="AUN15" s="40">
        <v>359</v>
      </c>
      <c r="AUO15" s="40">
        <v>360</v>
      </c>
      <c r="AUP15" s="40">
        <v>361</v>
      </c>
      <c r="AUQ15" s="40">
        <v>362</v>
      </c>
      <c r="AUR15" s="40">
        <v>363</v>
      </c>
      <c r="AUS15" s="40">
        <v>364</v>
      </c>
      <c r="AUT15" s="40">
        <v>365</v>
      </c>
      <c r="AUU15" s="40">
        <v>366</v>
      </c>
      <c r="AUV15" s="40">
        <v>367</v>
      </c>
      <c r="AUW15" s="40">
        <v>368</v>
      </c>
      <c r="AUX15" s="40">
        <v>369</v>
      </c>
      <c r="AUY15" s="40">
        <v>370</v>
      </c>
      <c r="AUZ15" s="40">
        <v>371</v>
      </c>
      <c r="AVA15" s="40">
        <v>372</v>
      </c>
      <c r="AVB15" s="40">
        <v>373</v>
      </c>
      <c r="AVC15" s="40">
        <v>374</v>
      </c>
      <c r="AVD15" s="40">
        <v>375</v>
      </c>
      <c r="AVE15" s="40">
        <v>376</v>
      </c>
      <c r="AVF15" s="40">
        <v>377</v>
      </c>
      <c r="AVG15" s="40">
        <v>378</v>
      </c>
      <c r="AVH15" s="40">
        <v>379</v>
      </c>
      <c r="AVI15" s="40">
        <v>380</v>
      </c>
      <c r="AVJ15" s="40">
        <v>381</v>
      </c>
      <c r="AVK15" s="40">
        <v>382</v>
      </c>
      <c r="AVL15" s="40">
        <v>383</v>
      </c>
      <c r="AVM15" s="40">
        <v>384</v>
      </c>
      <c r="AVN15" s="40">
        <v>385</v>
      </c>
      <c r="AVO15" s="40">
        <v>386</v>
      </c>
      <c r="AVP15" s="40">
        <v>387</v>
      </c>
      <c r="AVQ15" s="40">
        <v>388</v>
      </c>
      <c r="AVR15" s="40">
        <v>389</v>
      </c>
      <c r="AVS15" s="40">
        <v>390</v>
      </c>
      <c r="AVT15" s="40">
        <v>391</v>
      </c>
      <c r="AVU15" s="40">
        <v>392</v>
      </c>
      <c r="AVV15" s="40">
        <v>393</v>
      </c>
      <c r="AVW15" s="40">
        <v>394</v>
      </c>
      <c r="AVX15" s="40">
        <v>395</v>
      </c>
      <c r="AVY15" s="40">
        <v>396</v>
      </c>
      <c r="AVZ15" s="40">
        <v>397</v>
      </c>
      <c r="AWA15" s="40">
        <v>398</v>
      </c>
      <c r="AWB15" s="40">
        <v>399</v>
      </c>
      <c r="AWC15" s="40">
        <v>400</v>
      </c>
      <c r="AWD15" s="40">
        <v>401</v>
      </c>
      <c r="AWE15" s="40">
        <v>402</v>
      </c>
      <c r="AWF15" s="40">
        <v>403</v>
      </c>
      <c r="AWG15" s="40">
        <v>404</v>
      </c>
      <c r="AWH15" s="40">
        <v>405</v>
      </c>
      <c r="AWI15" s="40">
        <v>406</v>
      </c>
      <c r="AWJ15" s="40">
        <v>407</v>
      </c>
      <c r="AWK15" s="40">
        <v>408</v>
      </c>
      <c r="AWL15" s="40">
        <v>409</v>
      </c>
      <c r="AWM15" s="40">
        <v>410</v>
      </c>
      <c r="AWN15" s="40">
        <v>411</v>
      </c>
      <c r="AWO15" s="40">
        <v>412</v>
      </c>
      <c r="AWP15" s="40">
        <v>413</v>
      </c>
      <c r="AWQ15" s="40">
        <v>414</v>
      </c>
      <c r="AWR15" s="40">
        <v>415</v>
      </c>
      <c r="AWS15" s="40">
        <v>416</v>
      </c>
      <c r="AWT15" s="40">
        <v>417</v>
      </c>
      <c r="AWU15" s="40">
        <v>418</v>
      </c>
      <c r="AWV15" s="40">
        <v>419</v>
      </c>
      <c r="AWW15" s="40">
        <v>420</v>
      </c>
      <c r="AWX15" s="40">
        <v>421</v>
      </c>
      <c r="AWY15" s="40">
        <v>422</v>
      </c>
      <c r="AWZ15" s="40">
        <v>423</v>
      </c>
      <c r="AXA15" s="40">
        <v>424</v>
      </c>
      <c r="AXB15" s="40">
        <v>425</v>
      </c>
      <c r="AXC15" s="40">
        <v>426</v>
      </c>
      <c r="AXD15" s="40">
        <v>427</v>
      </c>
      <c r="AXE15" s="40">
        <v>428</v>
      </c>
      <c r="AXF15" s="40">
        <v>429</v>
      </c>
      <c r="AXG15" s="40">
        <v>430</v>
      </c>
      <c r="AXH15" s="40">
        <v>431</v>
      </c>
      <c r="AXI15" s="40">
        <v>432</v>
      </c>
      <c r="AXJ15" s="40">
        <v>433</v>
      </c>
      <c r="AXK15" s="40">
        <v>434</v>
      </c>
      <c r="AXL15" s="40">
        <v>435</v>
      </c>
      <c r="AXM15" s="40">
        <v>436</v>
      </c>
      <c r="AXN15" s="40">
        <v>437</v>
      </c>
      <c r="AXO15" s="40">
        <v>438</v>
      </c>
      <c r="AXP15" s="40">
        <v>439</v>
      </c>
      <c r="AXQ15" s="40">
        <v>440</v>
      </c>
      <c r="AXR15" s="40">
        <v>441</v>
      </c>
      <c r="AXS15" s="40">
        <v>442</v>
      </c>
      <c r="AXT15" s="40">
        <v>443</v>
      </c>
      <c r="AXU15" s="40">
        <v>444</v>
      </c>
      <c r="AXV15" s="40">
        <v>445</v>
      </c>
      <c r="AXW15" s="40">
        <v>446</v>
      </c>
      <c r="AXX15" s="40">
        <v>447</v>
      </c>
      <c r="AXY15" s="40">
        <v>448</v>
      </c>
      <c r="AXZ15" s="40">
        <v>449</v>
      </c>
      <c r="AYA15" s="40">
        <v>450</v>
      </c>
      <c r="AYB15" s="40">
        <v>451</v>
      </c>
      <c r="AYC15" s="40">
        <v>452</v>
      </c>
      <c r="AYD15" s="40">
        <v>453</v>
      </c>
      <c r="AYE15" s="40">
        <v>454</v>
      </c>
      <c r="AYF15" s="40">
        <v>455</v>
      </c>
      <c r="AYG15" s="40">
        <v>456</v>
      </c>
      <c r="AYH15" s="40">
        <v>457</v>
      </c>
      <c r="AYI15" s="40">
        <v>458</v>
      </c>
      <c r="AYJ15" s="40">
        <v>459</v>
      </c>
      <c r="AYK15" s="40">
        <v>460</v>
      </c>
      <c r="AYL15" s="40">
        <v>461</v>
      </c>
      <c r="AYM15" s="40">
        <v>462</v>
      </c>
      <c r="AYN15" s="40">
        <v>463</v>
      </c>
      <c r="AYO15" s="40">
        <v>464</v>
      </c>
      <c r="AYP15" s="40">
        <v>465</v>
      </c>
      <c r="AYQ15" s="40">
        <v>466</v>
      </c>
      <c r="AYR15" s="40">
        <v>467</v>
      </c>
      <c r="AYS15" s="40">
        <v>468</v>
      </c>
      <c r="AYT15" s="40">
        <v>469</v>
      </c>
      <c r="AYU15" s="40">
        <v>470</v>
      </c>
      <c r="AYV15" s="40">
        <v>471</v>
      </c>
      <c r="AYW15" s="40">
        <v>472</v>
      </c>
      <c r="AYX15" s="40">
        <v>473</v>
      </c>
      <c r="AYY15" s="40">
        <v>474</v>
      </c>
      <c r="AYZ15" s="40">
        <v>475</v>
      </c>
      <c r="AZA15" s="40">
        <v>476</v>
      </c>
      <c r="AZB15" s="40">
        <v>477</v>
      </c>
      <c r="AZC15" s="40">
        <v>478</v>
      </c>
      <c r="AZD15" s="40">
        <v>479</v>
      </c>
      <c r="AZE15" s="40">
        <v>480</v>
      </c>
      <c r="AZF15" s="40">
        <v>481</v>
      </c>
      <c r="AZG15" s="40">
        <v>482</v>
      </c>
      <c r="AZH15" s="40">
        <v>483</v>
      </c>
      <c r="AZI15" s="40">
        <v>484</v>
      </c>
      <c r="AZJ15" s="40">
        <v>485</v>
      </c>
      <c r="AZK15" s="40">
        <v>486</v>
      </c>
      <c r="AZL15" s="40">
        <v>487</v>
      </c>
      <c r="AZM15" s="40">
        <v>488</v>
      </c>
      <c r="AZN15" s="40">
        <v>489</v>
      </c>
      <c r="AZO15" s="40">
        <v>490</v>
      </c>
      <c r="AZP15" s="40">
        <v>491</v>
      </c>
      <c r="AZQ15" s="40">
        <v>492</v>
      </c>
      <c r="AZR15" s="40">
        <v>493</v>
      </c>
      <c r="AZS15" s="40">
        <v>494</v>
      </c>
      <c r="AZT15" s="40">
        <v>495</v>
      </c>
      <c r="AZU15" s="40">
        <v>496</v>
      </c>
      <c r="AZV15" s="40">
        <v>497</v>
      </c>
      <c r="AZW15" s="40">
        <v>498</v>
      </c>
      <c r="AZX15" s="40">
        <v>499</v>
      </c>
      <c r="AZY15" s="40">
        <v>500</v>
      </c>
      <c r="AZZ15" s="40">
        <v>501</v>
      </c>
      <c r="BAA15" s="40">
        <v>502</v>
      </c>
      <c r="BAB15" s="40">
        <v>503</v>
      </c>
      <c r="BAC15" s="40">
        <v>504</v>
      </c>
      <c r="BAD15" s="40">
        <v>505</v>
      </c>
      <c r="BAE15" s="40">
        <v>506</v>
      </c>
      <c r="BAF15" s="40">
        <v>507</v>
      </c>
      <c r="BAG15" s="40">
        <v>508</v>
      </c>
      <c r="BAH15" s="40">
        <v>509</v>
      </c>
      <c r="BAI15" s="40">
        <v>510</v>
      </c>
      <c r="BAJ15" s="40">
        <v>511</v>
      </c>
      <c r="BAK15" s="40">
        <v>512</v>
      </c>
      <c r="BAL15" s="40">
        <v>513</v>
      </c>
      <c r="BAM15" s="40">
        <v>514</v>
      </c>
      <c r="BAN15" s="40">
        <v>515</v>
      </c>
      <c r="BAO15" s="40">
        <v>516</v>
      </c>
      <c r="BAP15" s="40">
        <v>517</v>
      </c>
      <c r="BAQ15" s="40">
        <v>518</v>
      </c>
      <c r="BAR15" s="40">
        <v>519</v>
      </c>
      <c r="BAS15" s="40">
        <v>520</v>
      </c>
      <c r="BAT15" s="40">
        <v>521</v>
      </c>
      <c r="BAU15" s="40">
        <v>522</v>
      </c>
      <c r="BAV15" s="40">
        <v>523</v>
      </c>
      <c r="BAW15" s="40">
        <v>524</v>
      </c>
      <c r="BAX15" s="40">
        <v>525</v>
      </c>
      <c r="BAY15" s="40">
        <v>526</v>
      </c>
      <c r="BAZ15" s="40">
        <v>527</v>
      </c>
      <c r="BBA15" s="40">
        <v>528</v>
      </c>
      <c r="BBB15" s="40">
        <v>529</v>
      </c>
      <c r="BBC15" s="40">
        <v>530</v>
      </c>
      <c r="BBD15" s="40">
        <v>531</v>
      </c>
      <c r="BBE15" s="40">
        <v>532</v>
      </c>
      <c r="BBF15" s="40">
        <v>533</v>
      </c>
      <c r="BBG15" s="40">
        <v>534</v>
      </c>
      <c r="BBH15" s="40">
        <v>535</v>
      </c>
      <c r="BBI15" s="40">
        <v>536</v>
      </c>
      <c r="BBJ15" s="40">
        <v>537</v>
      </c>
      <c r="BBK15" s="40">
        <v>538</v>
      </c>
      <c r="BBL15" s="40">
        <v>539</v>
      </c>
      <c r="BBM15" s="40">
        <v>540</v>
      </c>
      <c r="BBN15" s="40">
        <v>541</v>
      </c>
      <c r="BBO15" s="40">
        <v>542</v>
      </c>
      <c r="BBP15" s="40">
        <v>543</v>
      </c>
      <c r="BBQ15" s="40">
        <v>544</v>
      </c>
      <c r="BBR15" s="40">
        <v>545</v>
      </c>
      <c r="BBS15" s="40">
        <v>546</v>
      </c>
      <c r="BBT15" s="40">
        <v>547</v>
      </c>
      <c r="BBU15" s="40">
        <v>548</v>
      </c>
      <c r="BBV15" s="40">
        <v>549</v>
      </c>
      <c r="BBW15" s="40">
        <v>550</v>
      </c>
      <c r="BBX15" s="40">
        <v>551</v>
      </c>
      <c r="BBY15" s="40">
        <v>552</v>
      </c>
      <c r="BBZ15" s="40">
        <v>553</v>
      </c>
      <c r="BCA15" s="40">
        <v>554</v>
      </c>
      <c r="BCB15" s="40">
        <v>555</v>
      </c>
      <c r="BCC15" s="40">
        <v>556</v>
      </c>
      <c r="BCD15" s="40">
        <v>557</v>
      </c>
      <c r="BCE15" s="40">
        <v>558</v>
      </c>
      <c r="BCF15" s="40">
        <v>559</v>
      </c>
      <c r="BCG15" s="40">
        <v>560</v>
      </c>
      <c r="BCH15" s="40">
        <v>561</v>
      </c>
      <c r="BCI15" s="40">
        <v>562</v>
      </c>
      <c r="BCJ15" s="40">
        <v>563</v>
      </c>
      <c r="BCK15" s="40">
        <v>564</v>
      </c>
      <c r="BCL15" s="40">
        <v>565</v>
      </c>
      <c r="BCM15" s="40">
        <v>566</v>
      </c>
      <c r="BCN15" s="40">
        <v>567</v>
      </c>
      <c r="BCO15" s="40">
        <v>568</v>
      </c>
      <c r="BCP15" s="40">
        <v>569</v>
      </c>
      <c r="BCQ15" s="40">
        <v>570</v>
      </c>
      <c r="BCR15" s="40">
        <v>571</v>
      </c>
      <c r="BCS15" s="40">
        <v>572</v>
      </c>
      <c r="BCT15" s="40">
        <v>573</v>
      </c>
      <c r="BCU15" s="40">
        <v>574</v>
      </c>
      <c r="BCV15" s="40">
        <v>575</v>
      </c>
      <c r="BCW15" s="40">
        <v>576</v>
      </c>
      <c r="BCX15" s="40">
        <v>577</v>
      </c>
      <c r="BCY15" s="40">
        <v>578</v>
      </c>
      <c r="BCZ15" s="40">
        <v>579</v>
      </c>
      <c r="BDA15" s="40">
        <v>580</v>
      </c>
      <c r="BDB15" s="40">
        <v>581</v>
      </c>
      <c r="BDC15" s="40">
        <v>582</v>
      </c>
      <c r="BDD15" s="40">
        <v>583</v>
      </c>
      <c r="BDE15" s="40">
        <v>584</v>
      </c>
      <c r="BDF15" s="40">
        <v>585</v>
      </c>
      <c r="BDG15" s="40">
        <v>586</v>
      </c>
      <c r="BDH15" s="40">
        <v>587</v>
      </c>
      <c r="BDI15" s="40">
        <v>588</v>
      </c>
      <c r="BDJ15" s="40">
        <v>589</v>
      </c>
      <c r="BDK15" s="40">
        <v>590</v>
      </c>
      <c r="BDL15" s="40">
        <v>591</v>
      </c>
      <c r="BDM15" s="40">
        <v>592</v>
      </c>
      <c r="BDN15" s="40">
        <v>593</v>
      </c>
      <c r="BDO15" s="40">
        <v>594</v>
      </c>
      <c r="BDP15" s="40">
        <v>595</v>
      </c>
      <c r="BDQ15" s="40">
        <v>596</v>
      </c>
      <c r="BDR15" s="40">
        <v>597</v>
      </c>
      <c r="BDS15" s="40">
        <v>598</v>
      </c>
      <c r="BDT15" s="40">
        <v>599</v>
      </c>
      <c r="BDU15" s="40">
        <v>600</v>
      </c>
      <c r="BDV15" s="40">
        <v>601</v>
      </c>
      <c r="BDW15" s="40">
        <v>602</v>
      </c>
      <c r="BDX15" s="40">
        <v>603</v>
      </c>
      <c r="BDY15" s="40">
        <v>604</v>
      </c>
      <c r="BDZ15" s="40">
        <v>605</v>
      </c>
      <c r="BEA15" s="40">
        <v>606</v>
      </c>
      <c r="BEB15" s="40">
        <v>607</v>
      </c>
      <c r="BEC15" s="40">
        <v>608</v>
      </c>
      <c r="BED15" s="40">
        <v>609</v>
      </c>
      <c r="BEE15" s="40">
        <v>610</v>
      </c>
      <c r="BEF15" s="40">
        <v>611</v>
      </c>
      <c r="BEG15" s="40">
        <v>612</v>
      </c>
      <c r="BEH15" s="40">
        <v>613</v>
      </c>
      <c r="BEI15" s="40">
        <v>614</v>
      </c>
      <c r="BEJ15" s="40">
        <v>615</v>
      </c>
      <c r="BEK15" s="40">
        <v>616</v>
      </c>
      <c r="BEL15" s="40">
        <v>617</v>
      </c>
      <c r="BEM15" s="40">
        <v>618</v>
      </c>
      <c r="BEN15" s="40">
        <v>619</v>
      </c>
      <c r="BEO15" s="40">
        <v>620</v>
      </c>
      <c r="BEP15" s="40">
        <v>621</v>
      </c>
      <c r="BEQ15" s="40">
        <v>622</v>
      </c>
      <c r="BER15" s="40">
        <v>623</v>
      </c>
      <c r="BES15" s="40">
        <v>624</v>
      </c>
      <c r="BET15" s="40">
        <v>625</v>
      </c>
      <c r="BEU15" s="40">
        <v>626</v>
      </c>
      <c r="BEV15" s="40">
        <v>627</v>
      </c>
      <c r="BEW15" s="40">
        <v>628</v>
      </c>
      <c r="BEX15" s="40">
        <v>629</v>
      </c>
      <c r="BEY15" s="40">
        <v>630</v>
      </c>
      <c r="BEZ15" s="40">
        <v>631</v>
      </c>
      <c r="BFA15" s="40">
        <v>632</v>
      </c>
      <c r="BFB15" s="40">
        <v>633</v>
      </c>
      <c r="BFC15" s="40">
        <v>634</v>
      </c>
      <c r="BFD15" s="40">
        <v>635</v>
      </c>
      <c r="BFE15" s="40">
        <v>636</v>
      </c>
      <c r="BFF15" s="40">
        <v>637</v>
      </c>
      <c r="BFG15" s="40">
        <v>638</v>
      </c>
      <c r="BFH15" s="40">
        <v>639</v>
      </c>
      <c r="BFI15" s="40">
        <v>640</v>
      </c>
      <c r="BFJ15" s="40">
        <v>641</v>
      </c>
      <c r="BFK15" s="40">
        <v>642</v>
      </c>
      <c r="BFL15" s="40">
        <v>643</v>
      </c>
      <c r="BFM15" s="40">
        <v>644</v>
      </c>
      <c r="BFN15" s="40">
        <v>645</v>
      </c>
      <c r="BFO15" s="40">
        <v>646</v>
      </c>
      <c r="BFP15" s="40">
        <v>647</v>
      </c>
      <c r="BFQ15" s="40">
        <v>648</v>
      </c>
      <c r="BFR15" s="40">
        <v>649</v>
      </c>
      <c r="BFS15" s="40">
        <v>650</v>
      </c>
      <c r="BFT15" s="40">
        <v>651</v>
      </c>
      <c r="BFU15" s="40">
        <v>652</v>
      </c>
      <c r="BFV15" s="40">
        <v>653</v>
      </c>
      <c r="BFW15" s="40">
        <v>654</v>
      </c>
      <c r="BFX15" s="40">
        <v>655</v>
      </c>
      <c r="BFY15" s="40">
        <v>656</v>
      </c>
      <c r="BFZ15" s="40">
        <v>657</v>
      </c>
      <c r="BGA15" s="40">
        <v>658</v>
      </c>
      <c r="BGB15" s="40">
        <v>659</v>
      </c>
      <c r="BGC15" s="40">
        <v>660</v>
      </c>
      <c r="BGD15" s="40">
        <v>661</v>
      </c>
      <c r="BGE15" s="40">
        <v>662</v>
      </c>
      <c r="BGF15" s="40">
        <v>663</v>
      </c>
      <c r="BGG15" s="40">
        <v>664</v>
      </c>
      <c r="BGH15" s="40">
        <v>665</v>
      </c>
      <c r="BGI15" s="40">
        <v>666</v>
      </c>
      <c r="BGJ15" s="40">
        <v>667</v>
      </c>
      <c r="BGK15" s="40">
        <v>668</v>
      </c>
      <c r="BGL15" s="40">
        <v>669</v>
      </c>
      <c r="BGM15" s="40">
        <v>670</v>
      </c>
      <c r="BGN15" s="40">
        <v>671</v>
      </c>
      <c r="BGO15" s="40">
        <v>672</v>
      </c>
      <c r="BGP15" s="40">
        <v>673</v>
      </c>
      <c r="BGQ15" s="40">
        <v>674</v>
      </c>
      <c r="BGR15" s="40">
        <v>675</v>
      </c>
      <c r="BGS15" s="40">
        <v>676</v>
      </c>
      <c r="BGT15" s="40">
        <v>677</v>
      </c>
      <c r="BGU15" s="40">
        <v>678</v>
      </c>
      <c r="BGV15" s="40">
        <v>679</v>
      </c>
      <c r="BGW15" s="40">
        <v>680</v>
      </c>
      <c r="BGX15" s="40">
        <v>681</v>
      </c>
      <c r="BGY15" s="40">
        <v>682</v>
      </c>
      <c r="BGZ15" s="40">
        <v>683</v>
      </c>
      <c r="BHA15" s="40">
        <v>684</v>
      </c>
      <c r="BHB15" s="40">
        <v>685</v>
      </c>
      <c r="BHC15" s="40">
        <v>686</v>
      </c>
      <c r="BHD15" s="40">
        <v>687</v>
      </c>
      <c r="BHE15" s="40">
        <v>688</v>
      </c>
      <c r="BHF15" s="40">
        <v>689</v>
      </c>
      <c r="BHG15" s="40">
        <v>690</v>
      </c>
      <c r="BHH15" s="40">
        <v>691</v>
      </c>
      <c r="BHI15" s="40">
        <v>692</v>
      </c>
      <c r="BHJ15" s="40">
        <v>693</v>
      </c>
      <c r="BHK15" s="40">
        <v>694</v>
      </c>
      <c r="BHL15" s="40">
        <v>695</v>
      </c>
      <c r="BHM15" s="40">
        <v>696</v>
      </c>
      <c r="BHN15" s="40">
        <v>697</v>
      </c>
      <c r="BHO15" s="40">
        <v>698</v>
      </c>
      <c r="BHP15" s="40">
        <v>699</v>
      </c>
      <c r="BHQ15" s="40">
        <v>700</v>
      </c>
      <c r="BHR15" s="40">
        <v>701</v>
      </c>
      <c r="BHS15" s="40">
        <v>702</v>
      </c>
      <c r="BHT15" s="40">
        <v>703</v>
      </c>
      <c r="BHU15" s="40">
        <v>704</v>
      </c>
      <c r="BHV15" s="40">
        <v>705</v>
      </c>
      <c r="BHW15" s="40">
        <v>706</v>
      </c>
      <c r="BHX15" s="40">
        <v>707</v>
      </c>
      <c r="BHY15" s="40">
        <v>708</v>
      </c>
      <c r="BHZ15" s="40">
        <v>709</v>
      </c>
      <c r="BIA15" s="40">
        <v>710</v>
      </c>
      <c r="BIB15" s="40">
        <v>711</v>
      </c>
      <c r="BIC15" s="40">
        <v>712</v>
      </c>
      <c r="BID15" s="40">
        <v>713</v>
      </c>
      <c r="BIE15" s="40">
        <v>714</v>
      </c>
      <c r="BIF15" s="40">
        <v>715</v>
      </c>
      <c r="BIG15" s="40">
        <v>716</v>
      </c>
      <c r="BIH15" s="40">
        <v>717</v>
      </c>
      <c r="BII15" s="40">
        <v>718</v>
      </c>
      <c r="BIJ15" s="40">
        <v>719</v>
      </c>
      <c r="BIK15" s="40">
        <v>720</v>
      </c>
      <c r="BIL15" s="40">
        <v>721</v>
      </c>
      <c r="BIM15" s="40">
        <v>722</v>
      </c>
      <c r="BIN15" s="40">
        <v>723</v>
      </c>
      <c r="BIO15" s="40">
        <v>724</v>
      </c>
      <c r="BIP15" s="40">
        <v>725</v>
      </c>
      <c r="BIQ15" s="40">
        <v>726</v>
      </c>
      <c r="BIR15" s="40">
        <v>727</v>
      </c>
      <c r="BIS15" s="40">
        <v>728</v>
      </c>
      <c r="BIT15" s="40">
        <v>729</v>
      </c>
      <c r="BIU15" s="40">
        <v>730</v>
      </c>
      <c r="BIV15" s="40">
        <v>731</v>
      </c>
      <c r="BIW15" s="40">
        <v>732</v>
      </c>
      <c r="BIX15" s="40">
        <v>733</v>
      </c>
      <c r="BIY15" s="40">
        <v>734</v>
      </c>
      <c r="BIZ15" s="40">
        <v>735</v>
      </c>
      <c r="BJA15" s="40">
        <v>736</v>
      </c>
      <c r="BJB15" s="40">
        <v>737</v>
      </c>
      <c r="BJC15" s="40">
        <v>738</v>
      </c>
      <c r="BJD15" s="40">
        <v>739</v>
      </c>
      <c r="BJE15" s="40">
        <v>740</v>
      </c>
      <c r="BJF15" s="40">
        <v>741</v>
      </c>
      <c r="BJG15" s="40">
        <v>742</v>
      </c>
      <c r="BJH15" s="40">
        <v>743</v>
      </c>
      <c r="BJI15" s="40">
        <v>744</v>
      </c>
      <c r="BJJ15" s="40">
        <v>745</v>
      </c>
      <c r="BJK15" s="40">
        <v>746</v>
      </c>
      <c r="BJL15" s="40">
        <v>747</v>
      </c>
      <c r="BJM15" s="40">
        <v>748</v>
      </c>
      <c r="BJN15" s="40">
        <v>749</v>
      </c>
      <c r="BJO15" s="40">
        <v>750</v>
      </c>
      <c r="BJP15" s="40">
        <v>751</v>
      </c>
      <c r="BJQ15" s="40">
        <v>752</v>
      </c>
      <c r="BJR15" s="40">
        <v>753</v>
      </c>
      <c r="BJS15" s="40">
        <v>754</v>
      </c>
      <c r="BJT15" s="40">
        <v>755</v>
      </c>
      <c r="BJU15" s="40">
        <v>756</v>
      </c>
      <c r="BJV15" s="40">
        <v>757</v>
      </c>
      <c r="BJW15" s="40">
        <v>758</v>
      </c>
      <c r="BJX15" s="40">
        <v>759</v>
      </c>
      <c r="BJY15" s="40">
        <v>760</v>
      </c>
      <c r="BJZ15" s="40">
        <v>761</v>
      </c>
      <c r="BKA15" s="40">
        <v>762</v>
      </c>
      <c r="BKB15" s="40">
        <v>763</v>
      </c>
      <c r="BKC15" s="40">
        <v>764</v>
      </c>
      <c r="BKD15" s="40">
        <v>765</v>
      </c>
      <c r="BKE15" s="40">
        <v>766</v>
      </c>
      <c r="BKF15" s="40">
        <v>767</v>
      </c>
      <c r="BKG15" s="40">
        <v>768</v>
      </c>
      <c r="BKH15" s="40">
        <v>769</v>
      </c>
      <c r="BKI15" s="40">
        <v>770</v>
      </c>
      <c r="BKJ15" s="40">
        <v>771</v>
      </c>
      <c r="BKK15" s="40">
        <v>772</v>
      </c>
      <c r="BKL15" s="40">
        <v>773</v>
      </c>
      <c r="BKM15" s="40">
        <v>774</v>
      </c>
      <c r="BKN15" s="40">
        <v>775</v>
      </c>
      <c r="BKO15" s="40">
        <v>776</v>
      </c>
      <c r="BKP15" s="40">
        <v>777</v>
      </c>
      <c r="BKQ15" s="40">
        <v>778</v>
      </c>
      <c r="BKR15" s="40">
        <v>779</v>
      </c>
      <c r="BKS15" s="40">
        <v>780</v>
      </c>
      <c r="BKT15" s="40">
        <v>781</v>
      </c>
      <c r="BKU15" s="40">
        <v>782</v>
      </c>
      <c r="BKV15" s="40">
        <v>783</v>
      </c>
      <c r="BKW15" s="40">
        <v>784</v>
      </c>
      <c r="BKX15" s="40">
        <v>785</v>
      </c>
      <c r="BKY15" s="40">
        <v>786</v>
      </c>
      <c r="BKZ15" s="40">
        <v>787</v>
      </c>
      <c r="BLA15" s="40">
        <v>788</v>
      </c>
      <c r="BLB15" s="40">
        <v>789</v>
      </c>
      <c r="BLC15" s="40">
        <v>790</v>
      </c>
      <c r="BLD15" s="40">
        <v>791</v>
      </c>
      <c r="BLE15" s="40">
        <v>792</v>
      </c>
      <c r="BLF15" s="40">
        <v>793</v>
      </c>
      <c r="BLG15" s="40">
        <v>794</v>
      </c>
      <c r="BLH15" s="40">
        <v>795</v>
      </c>
      <c r="BLI15" s="40">
        <v>796</v>
      </c>
      <c r="BLJ15" s="40">
        <v>797</v>
      </c>
      <c r="BLK15" s="40">
        <v>798</v>
      </c>
      <c r="BLL15" s="40">
        <v>799</v>
      </c>
      <c r="BLM15" s="40">
        <v>800</v>
      </c>
      <c r="BLN15" s="40">
        <v>801</v>
      </c>
      <c r="BLO15" s="40">
        <v>802</v>
      </c>
      <c r="BLP15" s="40">
        <v>803</v>
      </c>
      <c r="BLQ15" s="40">
        <v>804</v>
      </c>
      <c r="BLR15" s="40">
        <v>805</v>
      </c>
      <c r="BLS15" s="40">
        <v>806</v>
      </c>
      <c r="BLT15" s="40">
        <v>807</v>
      </c>
      <c r="BLU15" s="40">
        <v>808</v>
      </c>
      <c r="BLV15" s="40">
        <v>809</v>
      </c>
      <c r="BLW15" s="40">
        <v>810</v>
      </c>
      <c r="BLX15" s="40">
        <v>811</v>
      </c>
      <c r="BLY15" s="40">
        <v>812</v>
      </c>
      <c r="BLZ15" s="40">
        <v>813</v>
      </c>
      <c r="BMA15" s="40">
        <v>814</v>
      </c>
      <c r="BMB15" s="40">
        <v>815</v>
      </c>
      <c r="BMC15" s="40">
        <v>816</v>
      </c>
      <c r="BMD15" s="40">
        <v>817</v>
      </c>
      <c r="BME15" s="40">
        <v>818</v>
      </c>
      <c r="BMF15" s="40">
        <v>819</v>
      </c>
      <c r="BMG15" s="40">
        <v>820</v>
      </c>
      <c r="BMH15" s="40">
        <v>821</v>
      </c>
      <c r="BMI15" s="40">
        <v>822</v>
      </c>
      <c r="BMJ15" s="40">
        <v>823</v>
      </c>
      <c r="BMK15" s="40">
        <v>824</v>
      </c>
      <c r="BML15" s="40">
        <v>825</v>
      </c>
      <c r="BMM15" s="40">
        <v>826</v>
      </c>
      <c r="BMN15" s="40">
        <v>827</v>
      </c>
      <c r="BMO15" s="40">
        <v>828</v>
      </c>
      <c r="BMP15" s="40">
        <v>829</v>
      </c>
      <c r="BMQ15" s="40">
        <v>830</v>
      </c>
      <c r="BMR15" s="40">
        <v>831</v>
      </c>
      <c r="BMS15" s="40">
        <v>832</v>
      </c>
      <c r="BMT15" s="40">
        <v>833</v>
      </c>
      <c r="BMU15" s="40">
        <v>834</v>
      </c>
      <c r="BMV15" s="40">
        <v>835</v>
      </c>
      <c r="BMW15" s="40">
        <v>836</v>
      </c>
      <c r="BMX15" s="40">
        <v>837</v>
      </c>
      <c r="BMY15" s="40">
        <v>838</v>
      </c>
      <c r="BMZ15" s="40">
        <v>839</v>
      </c>
      <c r="BNA15" s="40">
        <v>840</v>
      </c>
      <c r="BNB15" s="40">
        <v>841</v>
      </c>
      <c r="BNC15" s="40">
        <v>842</v>
      </c>
      <c r="BND15" s="40">
        <v>843</v>
      </c>
      <c r="BNE15" s="40">
        <v>844</v>
      </c>
      <c r="BNF15" s="40">
        <v>845</v>
      </c>
      <c r="BNG15" s="40">
        <v>846</v>
      </c>
      <c r="BNH15" s="40">
        <v>847</v>
      </c>
      <c r="BNI15" s="40">
        <v>848</v>
      </c>
      <c r="BNJ15" s="40">
        <v>849</v>
      </c>
      <c r="BNK15" s="40">
        <v>850</v>
      </c>
      <c r="BNL15" s="40">
        <v>851</v>
      </c>
      <c r="BNM15" s="40">
        <v>852</v>
      </c>
      <c r="BNN15" s="40">
        <v>853</v>
      </c>
      <c r="XFA15" s="40">
        <v>1</v>
      </c>
      <c r="XFB15" s="40">
        <v>1</v>
      </c>
    </row>
    <row r="16" spans="1:1730 16381:16382" x14ac:dyDescent="0.25">
      <c r="A16" s="175" t="s">
        <v>73</v>
      </c>
      <c r="B16" s="176"/>
      <c r="C16" s="177"/>
      <c r="D16" s="62" t="s">
        <v>47</v>
      </c>
      <c r="E16" s="169">
        <f>IF(E15=1,1.5,IF(E15=2,3,IF(E15=3,4,IF(E15=4,5,IF(E15=5,6,IF(E15=6,6,7))))))</f>
        <v>5</v>
      </c>
      <c r="F16" s="170"/>
      <c r="G16" s="171"/>
      <c r="AGC16" s="39" t="s">
        <v>106</v>
      </c>
      <c r="AGD16" s="39">
        <v>55</v>
      </c>
      <c r="AGT16" s="40">
        <v>1</v>
      </c>
      <c r="AGU16" s="40">
        <v>1</v>
      </c>
      <c r="AGV16" s="40">
        <v>1</v>
      </c>
      <c r="AGW16" s="40">
        <v>0.95</v>
      </c>
      <c r="AGX16" s="40">
        <v>0.95</v>
      </c>
      <c r="AGY16" s="40">
        <v>0.95</v>
      </c>
      <c r="AGZ16" s="40">
        <v>0.95</v>
      </c>
      <c r="AHA16" s="40">
        <v>0.95</v>
      </c>
      <c r="AHB16" s="40">
        <v>0.95</v>
      </c>
      <c r="AHC16" s="40">
        <v>0.95</v>
      </c>
      <c r="AHD16" s="40">
        <v>0.9</v>
      </c>
      <c r="AHE16" s="40">
        <v>0.9</v>
      </c>
      <c r="AHF16" s="40">
        <v>0.9</v>
      </c>
      <c r="AHG16" s="40">
        <v>0.9</v>
      </c>
      <c r="AHH16" s="40">
        <v>0.9</v>
      </c>
      <c r="AHI16" s="40">
        <v>0.9</v>
      </c>
      <c r="AHJ16" s="40">
        <v>0.9</v>
      </c>
      <c r="AHK16" s="40">
        <v>0.9</v>
      </c>
      <c r="AHL16" s="40">
        <v>0.9</v>
      </c>
      <c r="AHM16" s="40">
        <v>0.9</v>
      </c>
      <c r="AHN16" s="40">
        <v>0.85</v>
      </c>
      <c r="AHO16" s="40">
        <v>0.85</v>
      </c>
      <c r="AHP16" s="40">
        <v>0.85</v>
      </c>
      <c r="AHQ16" s="40">
        <v>0.85</v>
      </c>
      <c r="AHR16" s="40">
        <v>0.85</v>
      </c>
      <c r="AHS16" s="40">
        <v>0.85</v>
      </c>
      <c r="AHT16" s="40">
        <v>0.85</v>
      </c>
      <c r="AHU16" s="40">
        <v>0.85</v>
      </c>
      <c r="AHV16" s="40">
        <v>0.85</v>
      </c>
      <c r="AHW16" s="40">
        <v>0.85</v>
      </c>
      <c r="AHX16" s="40">
        <v>0.85</v>
      </c>
      <c r="AHY16" s="40">
        <v>0.85</v>
      </c>
      <c r="AHZ16" s="40">
        <v>0.85</v>
      </c>
      <c r="AIA16" s="40">
        <v>0.85</v>
      </c>
      <c r="AIB16" s="40">
        <v>0.85</v>
      </c>
      <c r="AIC16" s="40">
        <v>0.85</v>
      </c>
      <c r="AID16" s="40">
        <v>0.85</v>
      </c>
      <c r="AIE16" s="40">
        <v>0.85</v>
      </c>
      <c r="AIF16" s="40">
        <v>0.85</v>
      </c>
      <c r="AIG16" s="40">
        <v>0.85</v>
      </c>
      <c r="AIH16" s="40">
        <v>0.85</v>
      </c>
      <c r="AII16" s="40">
        <v>0.85</v>
      </c>
      <c r="AIJ16" s="40">
        <v>0.85</v>
      </c>
      <c r="AIK16" s="40">
        <v>0.85</v>
      </c>
      <c r="AIL16" s="40">
        <v>0.85</v>
      </c>
      <c r="AIM16" s="40">
        <v>0.85</v>
      </c>
      <c r="AIN16" s="40">
        <v>0.85</v>
      </c>
      <c r="AIO16" s="40">
        <v>0.85</v>
      </c>
      <c r="AIP16" s="40">
        <v>0.85</v>
      </c>
      <c r="AIQ16" s="40">
        <v>0.85</v>
      </c>
      <c r="AIR16" s="40">
        <v>0.8</v>
      </c>
      <c r="AIS16" s="40">
        <v>0.8</v>
      </c>
      <c r="AIT16" s="40">
        <v>0.8</v>
      </c>
      <c r="AIU16" s="40">
        <v>0.8</v>
      </c>
      <c r="AIV16" s="40">
        <v>0.8</v>
      </c>
      <c r="AIW16" s="40">
        <v>0.8</v>
      </c>
      <c r="AIX16" s="40">
        <v>0.8</v>
      </c>
      <c r="AIY16" s="40">
        <v>0.8</v>
      </c>
      <c r="AIZ16" s="40">
        <v>0.8</v>
      </c>
      <c r="AJA16" s="40">
        <v>0.8</v>
      </c>
      <c r="AJB16" s="40">
        <v>0.8</v>
      </c>
      <c r="AJC16" s="40">
        <v>0.8</v>
      </c>
      <c r="AJD16" s="40">
        <v>0.8</v>
      </c>
      <c r="AJE16" s="40">
        <v>0.8</v>
      </c>
      <c r="AJF16" s="40">
        <v>0.8</v>
      </c>
      <c r="AJG16" s="40">
        <v>0.8</v>
      </c>
      <c r="AJH16" s="40">
        <v>0.8</v>
      </c>
      <c r="AJI16" s="40">
        <v>0.8</v>
      </c>
      <c r="AJJ16" s="40">
        <v>0.8</v>
      </c>
      <c r="AJK16" s="40">
        <v>0.8</v>
      </c>
      <c r="AJL16" s="40">
        <v>0.8</v>
      </c>
      <c r="AJM16" s="40">
        <v>0.8</v>
      </c>
      <c r="AJN16" s="40">
        <v>0.8</v>
      </c>
      <c r="AJO16" s="40">
        <v>0.8</v>
      </c>
      <c r="AJP16" s="40">
        <v>0.8</v>
      </c>
      <c r="AJQ16" s="40">
        <v>0.75</v>
      </c>
      <c r="AJR16" s="40">
        <v>0.75</v>
      </c>
      <c r="AJS16" s="40">
        <v>0.75</v>
      </c>
      <c r="AJT16" s="40">
        <v>0.75</v>
      </c>
      <c r="AJU16" s="40">
        <v>0.75</v>
      </c>
      <c r="AJV16" s="40">
        <v>0.75</v>
      </c>
      <c r="AJW16" s="40">
        <v>0.75</v>
      </c>
      <c r="AJX16" s="40">
        <v>0.75</v>
      </c>
      <c r="AJY16" s="40">
        <v>0.75</v>
      </c>
      <c r="AJZ16" s="40">
        <v>0.75</v>
      </c>
      <c r="AKA16" s="40">
        <v>0.75</v>
      </c>
      <c r="AKB16" s="40">
        <v>0.75</v>
      </c>
      <c r="AKC16" s="40">
        <v>0.75</v>
      </c>
      <c r="AKD16" s="40">
        <v>0.75</v>
      </c>
      <c r="AKE16" s="40">
        <v>0.75</v>
      </c>
      <c r="AKF16" s="40">
        <v>0.75</v>
      </c>
      <c r="AKG16" s="40">
        <v>0.75</v>
      </c>
      <c r="AKH16" s="40">
        <v>0.75</v>
      </c>
      <c r="AKI16" s="40">
        <v>0.75</v>
      </c>
      <c r="AKJ16" s="40">
        <v>0.75</v>
      </c>
      <c r="AKK16" s="40">
        <v>0.75</v>
      </c>
      <c r="AKL16" s="40">
        <v>0.75</v>
      </c>
      <c r="AKM16" s="40">
        <v>0.75</v>
      </c>
      <c r="AKN16" s="40">
        <v>0.75</v>
      </c>
      <c r="AKO16" s="40">
        <v>0.75</v>
      </c>
      <c r="AKP16" s="40">
        <v>0.7</v>
      </c>
      <c r="AKQ16" s="40">
        <v>0.7</v>
      </c>
      <c r="AKR16" s="40">
        <v>0.7</v>
      </c>
      <c r="AKS16" s="40">
        <v>0.7</v>
      </c>
      <c r="AKT16" s="40">
        <v>0.7</v>
      </c>
      <c r="AKU16" s="40">
        <v>0.7</v>
      </c>
      <c r="AKV16" s="40">
        <v>0.7</v>
      </c>
      <c r="AKW16" s="40">
        <v>0.7</v>
      </c>
      <c r="AKX16" s="40">
        <v>0.7</v>
      </c>
      <c r="AKY16" s="40">
        <v>0.7</v>
      </c>
      <c r="AKZ16" s="40">
        <v>0.7</v>
      </c>
      <c r="ALA16" s="40">
        <v>0.7</v>
      </c>
      <c r="ALB16" s="40">
        <v>0.7</v>
      </c>
      <c r="ALC16" s="40">
        <v>0.7</v>
      </c>
      <c r="ALD16" s="40">
        <v>0.7</v>
      </c>
      <c r="ALE16" s="40">
        <v>0.7</v>
      </c>
      <c r="ALF16" s="40">
        <v>0.7</v>
      </c>
      <c r="ALG16" s="40">
        <v>0.7</v>
      </c>
      <c r="ALH16" s="40">
        <v>0.7</v>
      </c>
      <c r="ALI16" s="40">
        <v>0.7</v>
      </c>
      <c r="ALJ16" s="40">
        <v>0.7</v>
      </c>
      <c r="ALK16" s="40">
        <v>0.7</v>
      </c>
      <c r="ALL16" s="40">
        <v>0.7</v>
      </c>
      <c r="ALM16" s="40">
        <v>0.7</v>
      </c>
      <c r="ALN16" s="40">
        <v>0.7</v>
      </c>
      <c r="ALO16" s="40">
        <v>0.7</v>
      </c>
      <c r="ALP16" s="40">
        <v>0.7</v>
      </c>
      <c r="ALQ16" s="40">
        <v>0.7</v>
      </c>
      <c r="ALR16" s="40">
        <v>0.7</v>
      </c>
      <c r="ALS16" s="40">
        <v>0.7</v>
      </c>
      <c r="ALT16" s="40">
        <v>0.7</v>
      </c>
      <c r="ALU16" s="40">
        <v>0.7</v>
      </c>
      <c r="ALV16" s="40">
        <v>0.7</v>
      </c>
      <c r="ALW16" s="40">
        <v>0.7</v>
      </c>
      <c r="ALX16" s="40">
        <v>0.7</v>
      </c>
      <c r="ALY16" s="40">
        <v>0.7</v>
      </c>
      <c r="ALZ16" s="40">
        <v>0.7</v>
      </c>
      <c r="AMA16" s="40">
        <v>0.7</v>
      </c>
      <c r="AMB16" s="40">
        <v>0.7</v>
      </c>
      <c r="AMC16" s="40">
        <v>0.7</v>
      </c>
      <c r="AMD16" s="40">
        <v>0.7</v>
      </c>
      <c r="AME16" s="40">
        <v>0.7</v>
      </c>
      <c r="AMF16" s="40">
        <v>0.7</v>
      </c>
      <c r="AMG16" s="40">
        <v>0.7</v>
      </c>
      <c r="AMH16" s="40">
        <v>0.7</v>
      </c>
      <c r="AMI16" s="40">
        <v>0.7</v>
      </c>
      <c r="AMJ16" s="40">
        <v>0.7</v>
      </c>
      <c r="AMK16" s="40">
        <v>0.7</v>
      </c>
      <c r="AML16" s="40">
        <v>0.7</v>
      </c>
      <c r="AMM16" s="40">
        <v>0.7</v>
      </c>
      <c r="AMN16" s="40">
        <v>0.7</v>
      </c>
      <c r="AMO16" s="40">
        <v>0.7</v>
      </c>
      <c r="AMP16" s="40">
        <v>0.7</v>
      </c>
      <c r="AMQ16" s="40">
        <v>0.7</v>
      </c>
      <c r="AMR16" s="40">
        <v>0.7</v>
      </c>
      <c r="AMS16" s="40">
        <v>0.7</v>
      </c>
      <c r="AMT16" s="40">
        <v>0.7</v>
      </c>
      <c r="AMU16" s="40">
        <v>0.7</v>
      </c>
      <c r="AMV16" s="40">
        <v>0.7</v>
      </c>
      <c r="AMW16" s="40">
        <v>0.7</v>
      </c>
      <c r="AMX16" s="40">
        <v>0.7</v>
      </c>
      <c r="AMY16" s="40">
        <v>0.7</v>
      </c>
      <c r="AMZ16" s="40">
        <v>0.7</v>
      </c>
      <c r="ANA16" s="40">
        <v>0.7</v>
      </c>
      <c r="ANB16" s="40">
        <v>0.7</v>
      </c>
      <c r="ANC16" s="40">
        <v>0.7</v>
      </c>
      <c r="AND16" s="40">
        <v>0.7</v>
      </c>
      <c r="ANE16" s="40">
        <v>0.7</v>
      </c>
      <c r="ANF16" s="40">
        <v>0.7</v>
      </c>
      <c r="ANG16" s="40">
        <v>0.7</v>
      </c>
      <c r="ANH16" s="40">
        <v>0.7</v>
      </c>
      <c r="ANI16" s="40">
        <v>0.7</v>
      </c>
      <c r="ANJ16" s="40">
        <v>0.7</v>
      </c>
      <c r="ANK16" s="40">
        <v>0.7</v>
      </c>
      <c r="ANL16" s="40">
        <v>0.7</v>
      </c>
      <c r="ANM16" s="40">
        <v>0.7</v>
      </c>
      <c r="ANN16" s="40">
        <v>0.7</v>
      </c>
      <c r="ANO16" s="40">
        <v>0.7</v>
      </c>
      <c r="ANP16" s="40">
        <v>0.7</v>
      </c>
      <c r="ANQ16" s="40">
        <v>0.7</v>
      </c>
      <c r="ANR16" s="40">
        <v>0.7</v>
      </c>
      <c r="ANS16" s="40">
        <v>0.7</v>
      </c>
      <c r="ANT16" s="40">
        <v>0.7</v>
      </c>
      <c r="ANU16" s="40">
        <v>0.7</v>
      </c>
      <c r="ANV16" s="40">
        <v>0.7</v>
      </c>
      <c r="ANW16" s="40">
        <v>0.7</v>
      </c>
      <c r="ANX16" s="40">
        <v>0.7</v>
      </c>
      <c r="ANY16" s="40">
        <v>0.7</v>
      </c>
      <c r="ANZ16" s="40">
        <v>0.7</v>
      </c>
      <c r="AOA16" s="40">
        <v>0.7</v>
      </c>
      <c r="AOB16" s="40">
        <v>0.7</v>
      </c>
      <c r="AOC16" s="40">
        <v>0.7</v>
      </c>
      <c r="AOD16" s="40">
        <v>0.7</v>
      </c>
      <c r="AOE16" s="40">
        <v>0.7</v>
      </c>
      <c r="AOF16" s="40">
        <v>0.7</v>
      </c>
      <c r="AOG16" s="40">
        <v>0.7</v>
      </c>
      <c r="AOH16" s="40">
        <v>0.7</v>
      </c>
      <c r="AOI16" s="40">
        <v>0.7</v>
      </c>
      <c r="AOJ16" s="40">
        <v>0.7</v>
      </c>
      <c r="AOK16" s="40">
        <v>0.7</v>
      </c>
      <c r="AOL16" s="40">
        <v>0.7</v>
      </c>
      <c r="AOM16" s="40">
        <v>0.7</v>
      </c>
      <c r="AON16" s="40">
        <v>0.7</v>
      </c>
      <c r="AOO16" s="40">
        <v>0.7</v>
      </c>
      <c r="AOP16" s="40">
        <v>0.7</v>
      </c>
      <c r="AOQ16" s="40">
        <v>0.7</v>
      </c>
      <c r="AOR16" s="40">
        <v>0.7</v>
      </c>
      <c r="AOS16" s="40">
        <v>0.7</v>
      </c>
      <c r="AOT16" s="40">
        <v>0.7</v>
      </c>
      <c r="AOU16" s="40">
        <v>0.7</v>
      </c>
      <c r="AOV16" s="40">
        <v>0.7</v>
      </c>
      <c r="AOW16" s="40">
        <v>0.7</v>
      </c>
      <c r="AOX16" s="40">
        <v>0.7</v>
      </c>
      <c r="AOY16" s="40">
        <v>0.7</v>
      </c>
      <c r="AOZ16" s="40">
        <v>0.7</v>
      </c>
      <c r="APA16" s="40">
        <v>0.7</v>
      </c>
      <c r="APB16" s="40">
        <v>0.7</v>
      </c>
      <c r="APC16" s="40">
        <v>0.7</v>
      </c>
      <c r="APD16" s="40">
        <v>0.7</v>
      </c>
      <c r="APE16" s="40">
        <v>0.7</v>
      </c>
      <c r="APF16" s="40">
        <v>0.7</v>
      </c>
      <c r="APG16" s="40">
        <v>0.7</v>
      </c>
      <c r="APH16" s="40">
        <v>0.7</v>
      </c>
      <c r="API16" s="40">
        <v>0.7</v>
      </c>
      <c r="APJ16" s="40">
        <v>0.7</v>
      </c>
      <c r="APK16" s="40">
        <v>0.7</v>
      </c>
      <c r="APL16" s="40">
        <v>0.7</v>
      </c>
      <c r="APM16" s="40">
        <v>0.7</v>
      </c>
      <c r="APN16" s="40">
        <v>0.7</v>
      </c>
      <c r="APO16" s="40">
        <v>0.7</v>
      </c>
      <c r="APP16" s="40">
        <v>0.7</v>
      </c>
      <c r="APQ16" s="40">
        <v>0.7</v>
      </c>
      <c r="APR16" s="40">
        <v>0.7</v>
      </c>
      <c r="APS16" s="40">
        <v>0.7</v>
      </c>
      <c r="APT16" s="40">
        <v>0.7</v>
      </c>
      <c r="APU16" s="40">
        <v>0.7</v>
      </c>
      <c r="APV16" s="40">
        <v>0.7</v>
      </c>
      <c r="APW16" s="40">
        <v>0.7</v>
      </c>
      <c r="APX16" s="40">
        <v>0.7</v>
      </c>
      <c r="APY16" s="40">
        <v>0.7</v>
      </c>
      <c r="APZ16" s="40">
        <v>0.7</v>
      </c>
      <c r="AQA16" s="40">
        <v>0.7</v>
      </c>
      <c r="AQB16" s="40">
        <v>0.7</v>
      </c>
      <c r="AQC16" s="40">
        <v>0.7</v>
      </c>
      <c r="AQD16" s="40">
        <v>0.7</v>
      </c>
      <c r="AQE16" s="40">
        <v>0.7</v>
      </c>
      <c r="AQF16" s="40">
        <v>0.7</v>
      </c>
      <c r="AQG16" s="40">
        <v>0.7</v>
      </c>
      <c r="AQH16" s="40">
        <v>0.7</v>
      </c>
      <c r="AQI16" s="40">
        <v>0.7</v>
      </c>
      <c r="AQJ16" s="40">
        <v>0.7</v>
      </c>
      <c r="AQK16" s="40">
        <v>0.7</v>
      </c>
      <c r="AQL16" s="40">
        <v>0.7</v>
      </c>
      <c r="AQM16" s="40">
        <v>0.7</v>
      </c>
      <c r="AQN16" s="40">
        <v>0.7</v>
      </c>
      <c r="AQO16" s="40">
        <v>0.7</v>
      </c>
      <c r="AQP16" s="40">
        <v>0.7</v>
      </c>
      <c r="AQQ16" s="40">
        <v>0.7</v>
      </c>
      <c r="AQR16" s="40">
        <v>0.7</v>
      </c>
      <c r="AQS16" s="40">
        <v>0.7</v>
      </c>
      <c r="AQT16" s="40">
        <v>0.7</v>
      </c>
      <c r="AQU16" s="40">
        <v>0.7</v>
      </c>
      <c r="AQV16" s="40">
        <v>0.7</v>
      </c>
      <c r="AQW16" s="40">
        <v>0.7</v>
      </c>
      <c r="AQX16" s="40">
        <v>0.7</v>
      </c>
      <c r="AQY16" s="40">
        <v>0.7</v>
      </c>
      <c r="AQZ16" s="40">
        <v>0.7</v>
      </c>
      <c r="ARA16" s="40">
        <v>0.7</v>
      </c>
      <c r="ARB16" s="40">
        <v>0.7</v>
      </c>
      <c r="ARC16" s="40">
        <v>0.7</v>
      </c>
      <c r="ARD16" s="40">
        <v>0.7</v>
      </c>
      <c r="ARE16" s="40">
        <v>0.7</v>
      </c>
      <c r="ARF16" s="40">
        <v>0.7</v>
      </c>
      <c r="ARG16" s="40">
        <v>0.7</v>
      </c>
      <c r="ARH16" s="40">
        <v>0.7</v>
      </c>
      <c r="ARI16" s="40">
        <v>0.7</v>
      </c>
      <c r="ARJ16" s="40">
        <v>0.7</v>
      </c>
      <c r="ARK16" s="40">
        <v>0.7</v>
      </c>
      <c r="ARL16" s="40">
        <v>0.7</v>
      </c>
      <c r="ARM16" s="40">
        <v>0.7</v>
      </c>
      <c r="ARN16" s="40">
        <v>0.7</v>
      </c>
      <c r="ARO16" s="40">
        <v>0.7</v>
      </c>
      <c r="ARP16" s="40">
        <v>0.7</v>
      </c>
      <c r="ARQ16" s="40">
        <v>0.7</v>
      </c>
      <c r="ARR16" s="40">
        <v>0.7</v>
      </c>
      <c r="ARS16" s="40">
        <v>0.7</v>
      </c>
      <c r="ART16" s="40">
        <v>0.7</v>
      </c>
      <c r="ARU16" s="40">
        <v>0.7</v>
      </c>
      <c r="ARV16" s="40">
        <v>0.7</v>
      </c>
      <c r="ARW16" s="40">
        <v>0.7</v>
      </c>
      <c r="ARX16" s="40">
        <v>0.7</v>
      </c>
      <c r="ARY16" s="40">
        <v>0.7</v>
      </c>
      <c r="ARZ16" s="40">
        <v>0.7</v>
      </c>
      <c r="ASA16" s="40">
        <v>0.7</v>
      </c>
      <c r="ASB16" s="40">
        <v>0.7</v>
      </c>
      <c r="ASC16" s="40">
        <v>0.7</v>
      </c>
      <c r="ASD16" s="40">
        <v>0.7</v>
      </c>
      <c r="ASE16" s="40">
        <v>0.7</v>
      </c>
      <c r="ASF16" s="40">
        <v>0.7</v>
      </c>
      <c r="ASG16" s="40">
        <v>0.7</v>
      </c>
      <c r="ASH16" s="40">
        <v>0.7</v>
      </c>
      <c r="ASI16" s="40">
        <v>0.7</v>
      </c>
      <c r="ASJ16" s="40">
        <v>0.7</v>
      </c>
      <c r="ASK16" s="40">
        <v>0.7</v>
      </c>
      <c r="ASL16" s="40">
        <v>0.7</v>
      </c>
      <c r="ASM16" s="40">
        <v>0.7</v>
      </c>
      <c r="ASN16" s="40">
        <v>0.7</v>
      </c>
      <c r="ASO16" s="40">
        <v>0.7</v>
      </c>
      <c r="ASP16" s="40">
        <v>0.7</v>
      </c>
      <c r="ASQ16" s="40">
        <v>0.7</v>
      </c>
      <c r="ASR16" s="40">
        <v>0.7</v>
      </c>
      <c r="ASS16" s="40">
        <v>0.7</v>
      </c>
      <c r="AST16" s="40">
        <v>0.7</v>
      </c>
      <c r="ASU16" s="40">
        <v>0.7</v>
      </c>
      <c r="ASV16" s="40">
        <v>0.7</v>
      </c>
      <c r="ASW16" s="40">
        <v>0.7</v>
      </c>
      <c r="ASX16" s="40">
        <v>0.7</v>
      </c>
      <c r="ASY16" s="40">
        <v>0.7</v>
      </c>
      <c r="ASZ16" s="40">
        <v>0.7</v>
      </c>
      <c r="ATA16" s="40">
        <v>0.7</v>
      </c>
      <c r="ATB16" s="40">
        <v>0.7</v>
      </c>
      <c r="ATC16" s="40">
        <v>0.7</v>
      </c>
      <c r="ATD16" s="40">
        <v>0.7</v>
      </c>
      <c r="ATE16" s="40">
        <v>0.7</v>
      </c>
      <c r="ATF16" s="40">
        <v>0.7</v>
      </c>
      <c r="ATG16" s="40">
        <v>0.7</v>
      </c>
      <c r="ATH16" s="40">
        <v>0.7</v>
      </c>
      <c r="ATI16" s="40">
        <v>0.7</v>
      </c>
      <c r="ATJ16" s="40">
        <v>0.7</v>
      </c>
      <c r="ATK16" s="40">
        <v>0.7</v>
      </c>
      <c r="ATL16" s="40">
        <v>0.7</v>
      </c>
      <c r="ATM16" s="40">
        <v>0.7</v>
      </c>
      <c r="ATN16" s="40">
        <v>0.7</v>
      </c>
      <c r="ATO16" s="40">
        <v>0.7</v>
      </c>
      <c r="ATP16" s="40">
        <v>0.7</v>
      </c>
      <c r="ATQ16" s="40">
        <v>0.7</v>
      </c>
      <c r="ATR16" s="40">
        <v>0.7</v>
      </c>
      <c r="ATS16" s="40">
        <v>0.7</v>
      </c>
      <c r="ATT16" s="40">
        <v>0.7</v>
      </c>
      <c r="ATU16" s="40">
        <v>0.7</v>
      </c>
      <c r="ATV16" s="40">
        <v>0.7</v>
      </c>
      <c r="ATW16" s="40">
        <v>0.7</v>
      </c>
      <c r="ATX16" s="40">
        <v>0.7</v>
      </c>
      <c r="ATY16" s="40">
        <v>0.7</v>
      </c>
      <c r="ATZ16" s="40">
        <v>0.7</v>
      </c>
      <c r="AUA16" s="40">
        <v>0.7</v>
      </c>
      <c r="AUB16" s="40">
        <v>0.7</v>
      </c>
      <c r="AUC16" s="40">
        <v>0.7</v>
      </c>
      <c r="AUD16" s="40">
        <v>0.7</v>
      </c>
      <c r="AUE16" s="40">
        <v>0.7</v>
      </c>
      <c r="AUF16" s="40">
        <v>0.7</v>
      </c>
      <c r="AUG16" s="40">
        <v>0.7</v>
      </c>
      <c r="AUH16" s="40">
        <v>0.7</v>
      </c>
      <c r="AUI16" s="40">
        <v>0.7</v>
      </c>
      <c r="AUJ16" s="40">
        <v>0.7</v>
      </c>
      <c r="AUK16" s="40">
        <v>0.7</v>
      </c>
      <c r="AUL16" s="40">
        <v>0.7</v>
      </c>
      <c r="AUM16" s="40">
        <v>0.7</v>
      </c>
      <c r="AUN16" s="40">
        <v>0.7</v>
      </c>
      <c r="AUO16" s="40">
        <v>0.7</v>
      </c>
      <c r="AUP16" s="40">
        <v>0.7</v>
      </c>
      <c r="AUQ16" s="40">
        <v>0.7</v>
      </c>
      <c r="AUR16" s="40">
        <v>0.7</v>
      </c>
      <c r="AUS16" s="40">
        <v>0.7</v>
      </c>
      <c r="AUT16" s="40">
        <v>0.7</v>
      </c>
      <c r="AUU16" s="40">
        <v>0.7</v>
      </c>
      <c r="AUV16" s="40">
        <v>0.7</v>
      </c>
      <c r="AUW16" s="40">
        <v>0.7</v>
      </c>
      <c r="AUX16" s="40">
        <v>0.7</v>
      </c>
      <c r="AUY16" s="40">
        <v>0.7</v>
      </c>
      <c r="AUZ16" s="40">
        <v>0.7</v>
      </c>
      <c r="AVA16" s="40">
        <v>0.7</v>
      </c>
      <c r="AVB16" s="40">
        <v>0.7</v>
      </c>
      <c r="AVC16" s="40">
        <v>0.7</v>
      </c>
      <c r="AVD16" s="40">
        <v>0.7</v>
      </c>
      <c r="AVE16" s="40">
        <v>0.7</v>
      </c>
      <c r="AVF16" s="40">
        <v>0.7</v>
      </c>
      <c r="AVG16" s="40">
        <v>0.7</v>
      </c>
      <c r="AVH16" s="40">
        <v>0.7</v>
      </c>
      <c r="AVI16" s="40">
        <v>0.7</v>
      </c>
      <c r="AVJ16" s="40">
        <v>0.7</v>
      </c>
      <c r="AVK16" s="40">
        <v>0.7</v>
      </c>
      <c r="AVL16" s="40">
        <v>0.7</v>
      </c>
      <c r="AVM16" s="40">
        <v>0.7</v>
      </c>
      <c r="AVN16" s="40">
        <v>0.7</v>
      </c>
      <c r="AVO16" s="40">
        <v>0.7</v>
      </c>
      <c r="AVP16" s="40">
        <v>0.7</v>
      </c>
      <c r="AVQ16" s="40">
        <v>0.7</v>
      </c>
      <c r="AVR16" s="40">
        <v>0.7</v>
      </c>
      <c r="AVS16" s="40">
        <v>0.7</v>
      </c>
      <c r="AVT16" s="40">
        <v>0.7</v>
      </c>
      <c r="AVU16" s="40">
        <v>0.7</v>
      </c>
      <c r="AVV16" s="40">
        <v>0.7</v>
      </c>
      <c r="AVW16" s="40">
        <v>0.7</v>
      </c>
      <c r="AVX16" s="40">
        <v>0.7</v>
      </c>
      <c r="AVY16" s="40">
        <v>0.7</v>
      </c>
      <c r="AVZ16" s="40">
        <v>0.7</v>
      </c>
      <c r="AWA16" s="40">
        <v>0.7</v>
      </c>
      <c r="AWB16" s="40">
        <v>0.7</v>
      </c>
      <c r="AWC16" s="40">
        <v>0.7</v>
      </c>
      <c r="AWD16" s="40">
        <v>0.7</v>
      </c>
      <c r="AWE16" s="40">
        <v>0.7</v>
      </c>
      <c r="AWF16" s="40">
        <v>0.7</v>
      </c>
      <c r="AWG16" s="40">
        <v>0.7</v>
      </c>
      <c r="AWH16" s="40">
        <v>0.7</v>
      </c>
      <c r="AWI16" s="40">
        <v>0.7</v>
      </c>
      <c r="AWJ16" s="40">
        <v>0.7</v>
      </c>
      <c r="AWK16" s="40">
        <v>0.7</v>
      </c>
      <c r="AWL16" s="40">
        <v>0.7</v>
      </c>
      <c r="AWM16" s="40">
        <v>0.7</v>
      </c>
      <c r="AWN16" s="40">
        <v>0.7</v>
      </c>
      <c r="AWO16" s="40">
        <v>0.7</v>
      </c>
      <c r="AWP16" s="40">
        <v>0.7</v>
      </c>
      <c r="AWQ16" s="40">
        <v>0.7</v>
      </c>
      <c r="AWR16" s="40">
        <v>0.7</v>
      </c>
      <c r="AWS16" s="40">
        <v>0.7</v>
      </c>
      <c r="AWT16" s="40">
        <v>0.7</v>
      </c>
      <c r="AWU16" s="40">
        <v>0.7</v>
      </c>
      <c r="AWV16" s="40">
        <v>0.7</v>
      </c>
      <c r="AWW16" s="40">
        <v>0.7</v>
      </c>
      <c r="AWX16" s="40">
        <v>0.7</v>
      </c>
      <c r="AWY16" s="40">
        <v>0.7</v>
      </c>
      <c r="AWZ16" s="40">
        <v>0.7</v>
      </c>
      <c r="AXA16" s="40">
        <v>0.7</v>
      </c>
      <c r="AXB16" s="40">
        <v>0.7</v>
      </c>
      <c r="AXC16" s="40">
        <v>0.7</v>
      </c>
      <c r="AXD16" s="40">
        <v>0.7</v>
      </c>
      <c r="AXE16" s="40">
        <v>0.7</v>
      </c>
      <c r="AXF16" s="40">
        <v>0.7</v>
      </c>
      <c r="AXG16" s="40">
        <v>0.7</v>
      </c>
      <c r="AXH16" s="40">
        <v>0.7</v>
      </c>
      <c r="AXI16" s="40">
        <v>0.7</v>
      </c>
      <c r="AXJ16" s="40">
        <v>0.7</v>
      </c>
      <c r="AXK16" s="40">
        <v>0.7</v>
      </c>
      <c r="AXL16" s="40">
        <v>0.7</v>
      </c>
      <c r="AXM16" s="40">
        <v>0.7</v>
      </c>
      <c r="AXN16" s="40">
        <v>0.7</v>
      </c>
      <c r="AXO16" s="40">
        <v>0.7</v>
      </c>
      <c r="AXP16" s="40">
        <v>0.7</v>
      </c>
      <c r="AXQ16" s="40">
        <v>0.7</v>
      </c>
      <c r="AXR16" s="40">
        <v>0.7</v>
      </c>
      <c r="AXS16" s="40">
        <v>0.7</v>
      </c>
      <c r="AXT16" s="40">
        <v>0.7</v>
      </c>
      <c r="AXU16" s="40">
        <v>0.7</v>
      </c>
      <c r="AXV16" s="40">
        <v>0.7</v>
      </c>
      <c r="AXW16" s="40">
        <v>0.7</v>
      </c>
      <c r="AXX16" s="40">
        <v>0.7</v>
      </c>
      <c r="AXY16" s="40">
        <v>0.7</v>
      </c>
      <c r="AXZ16" s="40">
        <v>0.7</v>
      </c>
      <c r="AYA16" s="40">
        <v>0.7</v>
      </c>
      <c r="AYB16" s="40">
        <v>0.7</v>
      </c>
      <c r="AYC16" s="40">
        <v>0.7</v>
      </c>
      <c r="AYD16" s="40">
        <v>0.7</v>
      </c>
      <c r="AYE16" s="40">
        <v>0.7</v>
      </c>
      <c r="AYF16" s="40">
        <v>0.7</v>
      </c>
      <c r="AYG16" s="40">
        <v>0.7</v>
      </c>
      <c r="AYH16" s="40">
        <v>0.7</v>
      </c>
      <c r="AYI16" s="40">
        <v>0.7</v>
      </c>
      <c r="AYJ16" s="40">
        <v>0.7</v>
      </c>
      <c r="AYK16" s="40">
        <v>0.7</v>
      </c>
      <c r="AYL16" s="40">
        <v>0.7</v>
      </c>
      <c r="AYM16" s="40">
        <v>0.7</v>
      </c>
      <c r="AYN16" s="40">
        <v>0.7</v>
      </c>
      <c r="AYO16" s="40">
        <v>0.7</v>
      </c>
      <c r="AYP16" s="40">
        <v>0.7</v>
      </c>
      <c r="AYQ16" s="40">
        <v>0.7</v>
      </c>
      <c r="AYR16" s="40">
        <v>0.7</v>
      </c>
      <c r="AYS16" s="40">
        <v>0.7</v>
      </c>
      <c r="AYT16" s="40">
        <v>0.7</v>
      </c>
      <c r="AYU16" s="40">
        <v>0.7</v>
      </c>
      <c r="AYV16" s="40">
        <v>0.7</v>
      </c>
      <c r="AYW16" s="40">
        <v>0.7</v>
      </c>
      <c r="AYX16" s="40">
        <v>0.7</v>
      </c>
      <c r="AYY16" s="40">
        <v>0.7</v>
      </c>
      <c r="AYZ16" s="40">
        <v>0.7</v>
      </c>
      <c r="AZA16" s="40">
        <v>0.7</v>
      </c>
      <c r="AZB16" s="40">
        <v>0.7</v>
      </c>
      <c r="AZC16" s="40">
        <v>0.7</v>
      </c>
      <c r="AZD16" s="40">
        <v>0.7</v>
      </c>
      <c r="AZE16" s="40">
        <v>0.7</v>
      </c>
      <c r="AZF16" s="40">
        <v>0.7</v>
      </c>
      <c r="AZG16" s="40">
        <v>0.7</v>
      </c>
      <c r="AZH16" s="40">
        <v>0.7</v>
      </c>
      <c r="AZI16" s="40">
        <v>0.7</v>
      </c>
      <c r="AZJ16" s="40">
        <v>0.7</v>
      </c>
      <c r="AZK16" s="40">
        <v>0.7</v>
      </c>
      <c r="AZL16" s="40">
        <v>0.7</v>
      </c>
      <c r="AZM16" s="40">
        <v>0.7</v>
      </c>
      <c r="AZN16" s="40">
        <v>0.7</v>
      </c>
      <c r="AZO16" s="40">
        <v>0.7</v>
      </c>
      <c r="AZP16" s="40">
        <v>0.7</v>
      </c>
      <c r="AZQ16" s="40">
        <v>0.7</v>
      </c>
      <c r="AZR16" s="40">
        <v>0.7</v>
      </c>
      <c r="AZS16" s="40">
        <v>0.7</v>
      </c>
      <c r="AZT16" s="40">
        <v>0.7</v>
      </c>
      <c r="AZU16" s="40">
        <v>0.7</v>
      </c>
      <c r="AZV16" s="40">
        <v>0.7</v>
      </c>
      <c r="AZW16" s="40">
        <v>0.7</v>
      </c>
      <c r="AZX16" s="40">
        <v>0.7</v>
      </c>
      <c r="AZY16" s="40">
        <v>0.7</v>
      </c>
      <c r="AZZ16" s="40">
        <v>0.7</v>
      </c>
      <c r="BAA16" s="40">
        <v>0.7</v>
      </c>
      <c r="BAB16" s="40">
        <v>0.7</v>
      </c>
      <c r="BAC16" s="40">
        <v>0.7</v>
      </c>
      <c r="BAD16" s="40">
        <v>0.7</v>
      </c>
      <c r="BAE16" s="40">
        <v>0.7</v>
      </c>
      <c r="BAF16" s="40">
        <v>0.7</v>
      </c>
      <c r="BAG16" s="40">
        <v>0.7</v>
      </c>
      <c r="BAH16" s="40">
        <v>0.7</v>
      </c>
      <c r="BAI16" s="40">
        <v>0.7</v>
      </c>
      <c r="BAJ16" s="40">
        <v>0.7</v>
      </c>
      <c r="BAK16" s="40">
        <v>0.7</v>
      </c>
      <c r="BAL16" s="40">
        <v>0.7</v>
      </c>
      <c r="BAM16" s="40">
        <v>0.7</v>
      </c>
      <c r="BAN16" s="40">
        <v>0.7</v>
      </c>
      <c r="BAO16" s="40">
        <v>0.7</v>
      </c>
      <c r="BAP16" s="40">
        <v>0.7</v>
      </c>
      <c r="BAQ16" s="40">
        <v>0.7</v>
      </c>
      <c r="BAR16" s="40">
        <v>0.7</v>
      </c>
      <c r="BAS16" s="40">
        <v>0.7</v>
      </c>
      <c r="BAT16" s="40">
        <v>0.7</v>
      </c>
      <c r="BAU16" s="40">
        <v>0.7</v>
      </c>
      <c r="BAV16" s="40">
        <v>0.7</v>
      </c>
      <c r="BAW16" s="40">
        <v>0.7</v>
      </c>
      <c r="BAX16" s="40">
        <v>0.7</v>
      </c>
      <c r="BAY16" s="40">
        <v>0.7</v>
      </c>
      <c r="BAZ16" s="40">
        <v>0.7</v>
      </c>
      <c r="BBA16" s="40">
        <v>0.7</v>
      </c>
      <c r="BBB16" s="40">
        <v>0.7</v>
      </c>
      <c r="BBC16" s="40">
        <v>0.7</v>
      </c>
      <c r="BBD16" s="40">
        <v>0.7</v>
      </c>
      <c r="BBE16" s="40">
        <v>0.7</v>
      </c>
      <c r="BBF16" s="40">
        <v>0.7</v>
      </c>
      <c r="BBG16" s="40">
        <v>0.7</v>
      </c>
      <c r="BBH16" s="40">
        <v>0.7</v>
      </c>
      <c r="BBI16" s="40">
        <v>0.7</v>
      </c>
      <c r="BBJ16" s="40">
        <v>0.7</v>
      </c>
      <c r="BBK16" s="40">
        <v>0.7</v>
      </c>
      <c r="BBL16" s="40">
        <v>0.7</v>
      </c>
      <c r="BBM16" s="40">
        <v>0.7</v>
      </c>
      <c r="BBN16" s="40">
        <v>0.7</v>
      </c>
      <c r="BBO16" s="40">
        <v>0.7</v>
      </c>
      <c r="BBP16" s="40">
        <v>0.7</v>
      </c>
      <c r="BBQ16" s="40">
        <v>0.7</v>
      </c>
      <c r="BBR16" s="40">
        <v>0.7</v>
      </c>
      <c r="BBS16" s="40">
        <v>0.7</v>
      </c>
      <c r="BBT16" s="40">
        <v>0.7</v>
      </c>
      <c r="BBU16" s="40">
        <v>0.7</v>
      </c>
      <c r="BBV16" s="40">
        <v>0.7</v>
      </c>
      <c r="BBW16" s="40">
        <v>0.7</v>
      </c>
      <c r="BBX16" s="40">
        <v>0.7</v>
      </c>
      <c r="BBY16" s="40">
        <v>0.7</v>
      </c>
      <c r="BBZ16" s="40">
        <v>0.7</v>
      </c>
      <c r="BCA16" s="40">
        <v>0.7</v>
      </c>
      <c r="BCB16" s="40">
        <v>0.7</v>
      </c>
      <c r="BCC16" s="40">
        <v>0.7</v>
      </c>
      <c r="BCD16" s="40">
        <v>0.7</v>
      </c>
      <c r="BCE16" s="40">
        <v>0.7</v>
      </c>
      <c r="BCF16" s="40">
        <v>0.7</v>
      </c>
      <c r="BCG16" s="40">
        <v>0.7</v>
      </c>
      <c r="BCH16" s="40">
        <v>0.7</v>
      </c>
      <c r="BCI16" s="40">
        <v>0.7</v>
      </c>
      <c r="BCJ16" s="40">
        <v>0.7</v>
      </c>
      <c r="BCK16" s="40">
        <v>0.7</v>
      </c>
      <c r="BCL16" s="40">
        <v>0.7</v>
      </c>
      <c r="BCM16" s="40">
        <v>0.7</v>
      </c>
      <c r="BCN16" s="40">
        <v>0.7</v>
      </c>
      <c r="BCO16" s="40">
        <v>0.7</v>
      </c>
      <c r="BCP16" s="40">
        <v>0.7</v>
      </c>
      <c r="BCQ16" s="40">
        <v>0.7</v>
      </c>
      <c r="BCR16" s="40">
        <v>0.7</v>
      </c>
      <c r="BCS16" s="40">
        <v>0.7</v>
      </c>
      <c r="BCT16" s="40">
        <v>0.7</v>
      </c>
      <c r="BCU16" s="40">
        <v>0.7</v>
      </c>
      <c r="BCV16" s="40">
        <v>0.7</v>
      </c>
      <c r="BCW16" s="40">
        <v>0.7</v>
      </c>
      <c r="BCX16" s="40">
        <v>0.7</v>
      </c>
      <c r="BCY16" s="40">
        <v>0.7</v>
      </c>
      <c r="BCZ16" s="40">
        <v>0.7</v>
      </c>
      <c r="BDA16" s="40">
        <v>0.7</v>
      </c>
      <c r="BDB16" s="40">
        <v>0.7</v>
      </c>
      <c r="BDC16" s="40">
        <v>0.7</v>
      </c>
      <c r="BDD16" s="40">
        <v>0.7</v>
      </c>
      <c r="BDE16" s="40">
        <v>0.7</v>
      </c>
      <c r="BDF16" s="40">
        <v>0.7</v>
      </c>
      <c r="BDG16" s="40">
        <v>0.7</v>
      </c>
      <c r="BDH16" s="40">
        <v>0.7</v>
      </c>
      <c r="BDI16" s="40">
        <v>0.7</v>
      </c>
      <c r="BDJ16" s="40">
        <v>0.7</v>
      </c>
      <c r="BDK16" s="40">
        <v>0.7</v>
      </c>
      <c r="BDL16" s="40">
        <v>0.7</v>
      </c>
      <c r="BDM16" s="40">
        <v>0.7</v>
      </c>
      <c r="BDN16" s="40">
        <v>0.7</v>
      </c>
      <c r="BDO16" s="40">
        <v>0.7</v>
      </c>
      <c r="BDP16" s="40">
        <v>0.7</v>
      </c>
      <c r="BDQ16" s="40">
        <v>0.7</v>
      </c>
      <c r="BDR16" s="40">
        <v>0.7</v>
      </c>
      <c r="BDS16" s="40">
        <v>0.7</v>
      </c>
      <c r="BDT16" s="40">
        <v>0.7</v>
      </c>
      <c r="BDU16" s="40">
        <v>0.7</v>
      </c>
      <c r="BDV16" s="40">
        <v>0.7</v>
      </c>
      <c r="BDW16" s="40">
        <v>0.7</v>
      </c>
      <c r="BDX16" s="40">
        <v>0.7</v>
      </c>
      <c r="BDY16" s="40">
        <v>0.7</v>
      </c>
      <c r="BDZ16" s="40">
        <v>0.7</v>
      </c>
      <c r="BEA16" s="40">
        <v>0.7</v>
      </c>
      <c r="BEB16" s="40">
        <v>0.7</v>
      </c>
      <c r="BEC16" s="40">
        <v>0.7</v>
      </c>
      <c r="BED16" s="40">
        <v>0.7</v>
      </c>
      <c r="BEE16" s="40">
        <v>0.7</v>
      </c>
      <c r="BEF16" s="40">
        <v>0.7</v>
      </c>
      <c r="BEG16" s="40">
        <v>0.7</v>
      </c>
      <c r="BEH16" s="40">
        <v>0.7</v>
      </c>
      <c r="BEI16" s="40">
        <v>0.7</v>
      </c>
      <c r="BEJ16" s="40">
        <v>0.7</v>
      </c>
      <c r="BEK16" s="40">
        <v>0.7</v>
      </c>
      <c r="BEL16" s="40">
        <v>0.7</v>
      </c>
      <c r="BEM16" s="40">
        <v>0.7</v>
      </c>
      <c r="BEN16" s="40">
        <v>0.7</v>
      </c>
      <c r="BEO16" s="40">
        <v>0.7</v>
      </c>
      <c r="BEP16" s="40">
        <v>0.7</v>
      </c>
      <c r="BEQ16" s="40">
        <v>0.7</v>
      </c>
      <c r="BER16" s="40">
        <v>0.7</v>
      </c>
      <c r="BES16" s="40">
        <v>0.7</v>
      </c>
      <c r="BET16" s="40">
        <v>0.7</v>
      </c>
      <c r="BEU16" s="40">
        <v>0.7</v>
      </c>
      <c r="BEV16" s="40">
        <v>0.7</v>
      </c>
      <c r="BEW16" s="40">
        <v>0.7</v>
      </c>
      <c r="BEX16" s="40">
        <v>0.7</v>
      </c>
      <c r="BEY16" s="40">
        <v>0.7</v>
      </c>
      <c r="BEZ16" s="40">
        <v>0.7</v>
      </c>
      <c r="BFA16" s="40">
        <v>0.7</v>
      </c>
      <c r="BFB16" s="40">
        <v>0.7</v>
      </c>
      <c r="BFC16" s="40">
        <v>0.7</v>
      </c>
      <c r="BFD16" s="40">
        <v>0.7</v>
      </c>
      <c r="BFE16" s="40">
        <v>0.7</v>
      </c>
      <c r="BFF16" s="40">
        <v>0.7</v>
      </c>
      <c r="BFG16" s="40">
        <v>0.7</v>
      </c>
      <c r="BFH16" s="40">
        <v>0.7</v>
      </c>
      <c r="BFI16" s="40">
        <v>0.7</v>
      </c>
      <c r="BFJ16" s="40">
        <v>0.7</v>
      </c>
      <c r="BFK16" s="40">
        <v>0.7</v>
      </c>
      <c r="BFL16" s="40">
        <v>0.7</v>
      </c>
      <c r="BFM16" s="40">
        <v>0.7</v>
      </c>
      <c r="BFN16" s="40">
        <v>0.7</v>
      </c>
      <c r="BFO16" s="40">
        <v>0.7</v>
      </c>
      <c r="BFP16" s="40">
        <v>0.7</v>
      </c>
      <c r="BFQ16" s="40">
        <v>0.7</v>
      </c>
      <c r="BFR16" s="40">
        <v>0.7</v>
      </c>
      <c r="BFS16" s="40">
        <v>0.7</v>
      </c>
      <c r="BFT16" s="40">
        <v>0.7</v>
      </c>
      <c r="BFU16" s="40">
        <v>0.7</v>
      </c>
      <c r="BFV16" s="40">
        <v>0.7</v>
      </c>
      <c r="BFW16" s="40">
        <v>0.7</v>
      </c>
      <c r="BFX16" s="40">
        <v>0.7</v>
      </c>
      <c r="BFY16" s="40">
        <v>0.7</v>
      </c>
      <c r="BFZ16" s="40">
        <v>0.7</v>
      </c>
      <c r="BGA16" s="40">
        <v>0.7</v>
      </c>
      <c r="BGB16" s="40">
        <v>0.7</v>
      </c>
      <c r="BGC16" s="40">
        <v>0.7</v>
      </c>
      <c r="BGD16" s="40">
        <v>0.7</v>
      </c>
      <c r="BGE16" s="40">
        <v>0.7</v>
      </c>
      <c r="BGF16" s="40">
        <v>0.7</v>
      </c>
      <c r="BGG16" s="40">
        <v>0.7</v>
      </c>
      <c r="BGH16" s="40">
        <v>0.7</v>
      </c>
      <c r="BGI16" s="40">
        <v>0.7</v>
      </c>
      <c r="BGJ16" s="40">
        <v>0.7</v>
      </c>
      <c r="BGK16" s="40">
        <v>0.7</v>
      </c>
      <c r="BGL16" s="40">
        <v>0.7</v>
      </c>
      <c r="BGM16" s="40">
        <v>0.7</v>
      </c>
      <c r="BGN16" s="40">
        <v>0.7</v>
      </c>
      <c r="BGO16" s="40">
        <v>0.7</v>
      </c>
      <c r="BGP16" s="40">
        <v>0.7</v>
      </c>
      <c r="BGQ16" s="40">
        <v>0.7</v>
      </c>
      <c r="BGR16" s="40">
        <v>0.7</v>
      </c>
      <c r="BGS16" s="40">
        <v>0.7</v>
      </c>
      <c r="BGT16" s="40">
        <v>0.7</v>
      </c>
      <c r="BGU16" s="40">
        <v>0.7</v>
      </c>
      <c r="BGV16" s="40">
        <v>0.7</v>
      </c>
      <c r="BGW16" s="40">
        <v>0.7</v>
      </c>
      <c r="BGX16" s="40">
        <v>0.7</v>
      </c>
      <c r="BGY16" s="40">
        <v>0.7</v>
      </c>
      <c r="BGZ16" s="40">
        <v>0.7</v>
      </c>
      <c r="BHA16" s="40">
        <v>0.7</v>
      </c>
      <c r="BHB16" s="40">
        <v>0.7</v>
      </c>
      <c r="BHC16" s="40">
        <v>0.7</v>
      </c>
      <c r="BHD16" s="40">
        <v>0.7</v>
      </c>
      <c r="BHE16" s="40">
        <v>0.7</v>
      </c>
      <c r="BHF16" s="40">
        <v>0.7</v>
      </c>
      <c r="BHG16" s="40">
        <v>0.7</v>
      </c>
      <c r="BHH16" s="40">
        <v>0.7</v>
      </c>
      <c r="BHI16" s="40">
        <v>0.7</v>
      </c>
      <c r="BHJ16" s="40">
        <v>0.7</v>
      </c>
      <c r="BHK16" s="40">
        <v>0.7</v>
      </c>
      <c r="BHL16" s="40">
        <v>0.7</v>
      </c>
      <c r="BHM16" s="40">
        <v>0.7</v>
      </c>
      <c r="BHN16" s="40">
        <v>0.7</v>
      </c>
      <c r="BHO16" s="40">
        <v>0.7</v>
      </c>
      <c r="BHP16" s="40">
        <v>0.7</v>
      </c>
      <c r="BHQ16" s="40">
        <v>0.7</v>
      </c>
      <c r="BHR16" s="40">
        <v>0.7</v>
      </c>
      <c r="BHS16" s="40">
        <v>0.7</v>
      </c>
      <c r="BHT16" s="40">
        <v>0.7</v>
      </c>
      <c r="BHU16" s="40">
        <v>0.7</v>
      </c>
      <c r="BHV16" s="40">
        <v>0.7</v>
      </c>
      <c r="BHW16" s="40">
        <v>0.7</v>
      </c>
      <c r="BHX16" s="40">
        <v>0.7</v>
      </c>
      <c r="BHY16" s="40">
        <v>0.7</v>
      </c>
      <c r="BHZ16" s="40">
        <v>0.7</v>
      </c>
      <c r="BIA16" s="40">
        <v>0.7</v>
      </c>
      <c r="BIB16" s="40">
        <v>0.7</v>
      </c>
      <c r="BIC16" s="40">
        <v>0.7</v>
      </c>
      <c r="BID16" s="40">
        <v>0.7</v>
      </c>
      <c r="BIE16" s="40">
        <v>0.7</v>
      </c>
      <c r="BIF16" s="40">
        <v>0.7</v>
      </c>
      <c r="BIG16" s="40">
        <v>0.7</v>
      </c>
      <c r="BIH16" s="40">
        <v>0.7</v>
      </c>
      <c r="BII16" s="40">
        <v>0.7</v>
      </c>
      <c r="BIJ16" s="40">
        <v>0.7</v>
      </c>
      <c r="BIK16" s="40">
        <v>0.7</v>
      </c>
      <c r="BIL16" s="40">
        <v>0.7</v>
      </c>
      <c r="BIM16" s="40">
        <v>0.7</v>
      </c>
      <c r="BIN16" s="40">
        <v>0.7</v>
      </c>
      <c r="BIO16" s="40">
        <v>0.7</v>
      </c>
      <c r="BIP16" s="40">
        <v>0.7</v>
      </c>
      <c r="BIQ16" s="40">
        <v>0.7</v>
      </c>
      <c r="BIR16" s="40">
        <v>0.7</v>
      </c>
      <c r="BIS16" s="40">
        <v>0.7</v>
      </c>
      <c r="BIT16" s="40">
        <v>0.7</v>
      </c>
      <c r="BIU16" s="40">
        <v>0.7</v>
      </c>
      <c r="BIV16" s="40">
        <v>0.7</v>
      </c>
      <c r="BIW16" s="40">
        <v>0.7</v>
      </c>
      <c r="BIX16" s="40">
        <v>0.7</v>
      </c>
      <c r="BIY16" s="40">
        <v>0.7</v>
      </c>
      <c r="BIZ16" s="40">
        <v>0.7</v>
      </c>
      <c r="BJA16" s="40">
        <v>0.7</v>
      </c>
      <c r="BJB16" s="40">
        <v>0.7</v>
      </c>
      <c r="BJC16" s="40">
        <v>0.7</v>
      </c>
      <c r="BJD16" s="40">
        <v>0.7</v>
      </c>
      <c r="BJE16" s="40">
        <v>0.7</v>
      </c>
      <c r="BJF16" s="40">
        <v>0.7</v>
      </c>
      <c r="BJG16" s="40">
        <v>0.7</v>
      </c>
      <c r="BJH16" s="40">
        <v>0.7</v>
      </c>
      <c r="BJI16" s="40">
        <v>0.7</v>
      </c>
      <c r="BJJ16" s="40">
        <v>0.7</v>
      </c>
      <c r="BJK16" s="40">
        <v>0.7</v>
      </c>
      <c r="BJL16" s="40">
        <v>0.7</v>
      </c>
      <c r="BJM16" s="40">
        <v>0.7</v>
      </c>
      <c r="BJN16" s="40">
        <v>0.7</v>
      </c>
      <c r="BJO16" s="40">
        <v>0.7</v>
      </c>
      <c r="BJP16" s="40">
        <v>0.7</v>
      </c>
      <c r="BJQ16" s="40">
        <v>0.7</v>
      </c>
      <c r="BJR16" s="40">
        <v>0.7</v>
      </c>
      <c r="BJS16" s="40">
        <v>0.7</v>
      </c>
      <c r="BJT16" s="40">
        <v>0.7</v>
      </c>
      <c r="BJU16" s="40">
        <v>0.7</v>
      </c>
      <c r="BJV16" s="40">
        <v>0.7</v>
      </c>
      <c r="BJW16" s="40">
        <v>0.7</v>
      </c>
      <c r="BJX16" s="40">
        <v>0.7</v>
      </c>
      <c r="BJY16" s="40">
        <v>0.7</v>
      </c>
      <c r="BJZ16" s="40">
        <v>0.7</v>
      </c>
      <c r="BKA16" s="40">
        <v>0.7</v>
      </c>
      <c r="BKB16" s="40">
        <v>0.7</v>
      </c>
      <c r="BKC16" s="40">
        <v>0.7</v>
      </c>
      <c r="BKD16" s="40">
        <v>0.7</v>
      </c>
      <c r="BKE16" s="40">
        <v>0.7</v>
      </c>
      <c r="BKF16" s="40">
        <v>0.7</v>
      </c>
      <c r="BKG16" s="40">
        <v>0.7</v>
      </c>
      <c r="BKH16" s="40">
        <v>0.7</v>
      </c>
      <c r="BKI16" s="40">
        <v>0.7</v>
      </c>
      <c r="BKJ16" s="40">
        <v>0.7</v>
      </c>
      <c r="BKK16" s="40">
        <v>0.7</v>
      </c>
      <c r="BKL16" s="40">
        <v>0.7</v>
      </c>
      <c r="BKM16" s="40">
        <v>0.7</v>
      </c>
      <c r="BKN16" s="40">
        <v>0.7</v>
      </c>
      <c r="BKO16" s="40">
        <v>0.7</v>
      </c>
      <c r="BKP16" s="40">
        <v>0.7</v>
      </c>
      <c r="BKQ16" s="40">
        <v>0.7</v>
      </c>
      <c r="BKR16" s="40">
        <v>0.7</v>
      </c>
      <c r="BKS16" s="40">
        <v>0.7</v>
      </c>
      <c r="BKT16" s="40">
        <v>0.7</v>
      </c>
      <c r="BKU16" s="40">
        <v>0.7</v>
      </c>
      <c r="BKV16" s="40">
        <v>0.7</v>
      </c>
      <c r="BKW16" s="40">
        <v>0.7</v>
      </c>
      <c r="BKX16" s="40">
        <v>0.7</v>
      </c>
      <c r="BKY16" s="40">
        <v>0.7</v>
      </c>
      <c r="BKZ16" s="40">
        <v>0.7</v>
      </c>
      <c r="BLA16" s="40">
        <v>0.7</v>
      </c>
      <c r="BLB16" s="40">
        <v>0.7</v>
      </c>
      <c r="BLC16" s="40">
        <v>0.7</v>
      </c>
      <c r="BLD16" s="40">
        <v>0.7</v>
      </c>
      <c r="BLE16" s="40">
        <v>0.7</v>
      </c>
      <c r="BLF16" s="40">
        <v>0.7</v>
      </c>
      <c r="BLG16" s="40">
        <v>0.7</v>
      </c>
      <c r="BLH16" s="40">
        <v>0.7</v>
      </c>
      <c r="BLI16" s="40">
        <v>0.7</v>
      </c>
      <c r="BLJ16" s="40">
        <v>0.7</v>
      </c>
      <c r="BLK16" s="40">
        <v>0.7</v>
      </c>
      <c r="BLL16" s="40">
        <v>0.7</v>
      </c>
      <c r="BLM16" s="40">
        <v>0.7</v>
      </c>
      <c r="BLN16" s="40">
        <v>0.7</v>
      </c>
      <c r="BLO16" s="40">
        <v>0.7</v>
      </c>
      <c r="BLP16" s="40">
        <v>0.7</v>
      </c>
      <c r="BLQ16" s="40">
        <v>0.7</v>
      </c>
      <c r="BLR16" s="40">
        <v>0.7</v>
      </c>
      <c r="BLS16" s="40">
        <v>0.7</v>
      </c>
      <c r="BLT16" s="40">
        <v>0.7</v>
      </c>
      <c r="BLU16" s="40">
        <v>0.7</v>
      </c>
      <c r="BLV16" s="40">
        <v>0.7</v>
      </c>
      <c r="BLW16" s="40">
        <v>0.7</v>
      </c>
      <c r="BLX16" s="40">
        <v>0.7</v>
      </c>
      <c r="BLY16" s="40">
        <v>0.7</v>
      </c>
      <c r="BLZ16" s="40">
        <v>0.7</v>
      </c>
      <c r="BMA16" s="40">
        <v>0.7</v>
      </c>
      <c r="BMB16" s="40">
        <v>0.7</v>
      </c>
      <c r="BMC16" s="40">
        <v>0.7</v>
      </c>
      <c r="BMD16" s="40">
        <v>0.7</v>
      </c>
      <c r="BME16" s="40">
        <v>0.7</v>
      </c>
      <c r="BMF16" s="40">
        <v>0.7</v>
      </c>
      <c r="BMG16" s="40">
        <v>0.7</v>
      </c>
      <c r="BMH16" s="40">
        <v>0.7</v>
      </c>
      <c r="BMI16" s="40">
        <v>0.7</v>
      </c>
      <c r="BMJ16" s="40">
        <v>0.7</v>
      </c>
      <c r="BMK16" s="40">
        <v>0.7</v>
      </c>
      <c r="BML16" s="40">
        <v>0.7</v>
      </c>
      <c r="BMM16" s="40">
        <v>0.7</v>
      </c>
      <c r="BMN16" s="40">
        <v>0.7</v>
      </c>
      <c r="BMO16" s="40">
        <v>0.7</v>
      </c>
      <c r="BMP16" s="40">
        <v>0.7</v>
      </c>
      <c r="BMQ16" s="40">
        <v>0.7</v>
      </c>
      <c r="BMR16" s="40">
        <v>0.7</v>
      </c>
      <c r="BMS16" s="40">
        <v>0.7</v>
      </c>
      <c r="BMT16" s="40">
        <v>0.7</v>
      </c>
      <c r="BMU16" s="40">
        <v>0.7</v>
      </c>
      <c r="BMV16" s="40">
        <v>0.7</v>
      </c>
      <c r="BMW16" s="40">
        <v>0.7</v>
      </c>
      <c r="BMX16" s="40">
        <v>0.7</v>
      </c>
      <c r="BMY16" s="40">
        <v>0.7</v>
      </c>
      <c r="BMZ16" s="40">
        <v>0.7</v>
      </c>
      <c r="BNA16" s="40">
        <v>0.7</v>
      </c>
      <c r="BNB16" s="40">
        <v>0.7</v>
      </c>
      <c r="BNC16" s="40">
        <v>0.7</v>
      </c>
      <c r="BND16" s="40">
        <v>0.7</v>
      </c>
      <c r="BNE16" s="40">
        <v>0.7</v>
      </c>
      <c r="BNF16" s="40">
        <v>0.7</v>
      </c>
      <c r="BNG16" s="40">
        <v>0.7</v>
      </c>
      <c r="BNH16" s="40">
        <v>0.7</v>
      </c>
      <c r="BNI16" s="40">
        <v>0.7</v>
      </c>
      <c r="BNJ16" s="40">
        <v>0.7</v>
      </c>
      <c r="BNK16" s="40">
        <v>0.7</v>
      </c>
      <c r="BNL16" s="40">
        <v>0.7</v>
      </c>
      <c r="BNM16" s="40">
        <v>0.7</v>
      </c>
      <c r="BNN16" s="40">
        <v>0.7</v>
      </c>
      <c r="XFA16" s="40">
        <v>2</v>
      </c>
      <c r="XFB16" s="40">
        <v>1</v>
      </c>
    </row>
    <row r="17" spans="1:862 16381:16382" x14ac:dyDescent="0.25">
      <c r="A17" s="178" t="s">
        <v>74</v>
      </c>
      <c r="B17" s="179"/>
      <c r="C17" s="180"/>
      <c r="D17" s="121" t="s">
        <v>47</v>
      </c>
      <c r="E17" s="172">
        <f>VLOOKUP(E14,XFA15:XFB867,2)</f>
        <v>0.9</v>
      </c>
      <c r="F17" s="173"/>
      <c r="G17" s="174"/>
      <c r="AGC17" s="39" t="s">
        <v>107</v>
      </c>
      <c r="AGD17" s="39">
        <v>41</v>
      </c>
      <c r="XFA17" s="40">
        <v>3</v>
      </c>
      <c r="XFB17" s="40">
        <v>1</v>
      </c>
    </row>
    <row r="18" spans="1:862 16381:16382" ht="25.7" x14ac:dyDescent="0.25">
      <c r="A18" s="160" t="s">
        <v>101</v>
      </c>
      <c r="B18" s="161"/>
      <c r="C18" s="162"/>
      <c r="D18" s="121" t="s">
        <v>126</v>
      </c>
      <c r="E18" s="169">
        <f>INDEX(AGD11:AGD35,MATCH(E13,AGC11:AGC35,0),1)</f>
        <v>28</v>
      </c>
      <c r="F18" s="170"/>
      <c r="G18" s="171"/>
      <c r="H18" s="252"/>
      <c r="AGC18" s="39" t="s">
        <v>108</v>
      </c>
      <c r="AGD18" s="39">
        <v>34</v>
      </c>
      <c r="XFA18" s="40">
        <v>4</v>
      </c>
      <c r="XFB18" s="40">
        <v>0.95</v>
      </c>
    </row>
    <row r="19" spans="1:862 16381:16382" ht="14.25" x14ac:dyDescent="0.25">
      <c r="A19" s="160" t="s">
        <v>101</v>
      </c>
      <c r="B19" s="161"/>
      <c r="C19" s="162"/>
      <c r="D19" s="121" t="s">
        <v>88</v>
      </c>
      <c r="E19" s="163">
        <f>E18*E16*E17*E14</f>
        <v>1764</v>
      </c>
      <c r="F19" s="164"/>
      <c r="G19" s="165"/>
      <c r="H19" s="252" t="s">
        <v>433</v>
      </c>
      <c r="AGC19" s="39" t="s">
        <v>109</v>
      </c>
      <c r="AGD19" s="39">
        <v>34</v>
      </c>
      <c r="XFA19" s="40">
        <v>5</v>
      </c>
      <c r="XFB19" s="40">
        <v>0.95</v>
      </c>
    </row>
    <row r="20" spans="1:862 16381:16382" ht="14.25" x14ac:dyDescent="0.25">
      <c r="AGC20" s="39" t="s">
        <v>110</v>
      </c>
      <c r="AGD20" s="39">
        <v>34</v>
      </c>
      <c r="XFA20" s="40">
        <v>6</v>
      </c>
      <c r="XFB20" s="40">
        <v>0.95</v>
      </c>
    </row>
    <row r="21" spans="1:862 16381:16382" ht="15.75" x14ac:dyDescent="0.25">
      <c r="A21" s="157" t="s">
        <v>17</v>
      </c>
      <c r="B21" s="158"/>
      <c r="C21" s="159"/>
      <c r="D21" s="122">
        <f>IF(E19&lt;=5000,0.6,0.7)</f>
        <v>0.6</v>
      </c>
      <c r="AGC21" s="39" t="s">
        <v>111</v>
      </c>
      <c r="AGD21" s="39">
        <v>28</v>
      </c>
      <c r="XFA21" s="40">
        <v>7</v>
      </c>
      <c r="XFB21" s="40">
        <v>0.95</v>
      </c>
    </row>
    <row r="22" spans="1:862 16381:16382" x14ac:dyDescent="0.25">
      <c r="AGC22" s="39" t="s">
        <v>112</v>
      </c>
      <c r="AGD22" s="39">
        <v>28</v>
      </c>
      <c r="XFA22" s="40">
        <v>8</v>
      </c>
      <c r="XFB22" s="40">
        <v>0.95</v>
      </c>
    </row>
    <row r="23" spans="1:862 16381:16382" ht="14.25" x14ac:dyDescent="0.25">
      <c r="AGC23" s="39" t="s">
        <v>113</v>
      </c>
      <c r="AGD23" s="39">
        <v>28</v>
      </c>
      <c r="XFA23" s="40">
        <v>9</v>
      </c>
      <c r="XFB23" s="40">
        <v>0.95</v>
      </c>
    </row>
    <row r="24" spans="1:862 16381:16382" ht="15.75" x14ac:dyDescent="0.25">
      <c r="A24" s="157" t="s">
        <v>77</v>
      </c>
      <c r="B24" s="158"/>
      <c r="C24" s="159"/>
      <c r="D24" s="123">
        <v>60</v>
      </c>
      <c r="E24" s="43" t="s">
        <v>434</v>
      </c>
      <c r="AGC24" s="39" t="s">
        <v>114</v>
      </c>
      <c r="AGD24" s="39">
        <v>24</v>
      </c>
      <c r="XFA24" s="40">
        <v>10</v>
      </c>
      <c r="XFB24" s="40">
        <v>0.95</v>
      </c>
    </row>
    <row r="25" spans="1:862 16381:16382" ht="14.25" x14ac:dyDescent="0.25">
      <c r="AGC25" s="39" t="s">
        <v>113</v>
      </c>
      <c r="AGD25" s="39">
        <v>28</v>
      </c>
      <c r="XFA25" s="40">
        <v>11</v>
      </c>
      <c r="XFB25" s="40">
        <v>0.9</v>
      </c>
    </row>
    <row r="26" spans="1:862 16381:16382" ht="14.25" x14ac:dyDescent="0.25">
      <c r="AGC26" s="39" t="s">
        <v>115</v>
      </c>
      <c r="AGD26" s="39">
        <v>21</v>
      </c>
      <c r="XFA26" s="40">
        <v>12</v>
      </c>
      <c r="XFB26" s="40">
        <v>0.9</v>
      </c>
    </row>
    <row r="27" spans="1:862 16381:16382" ht="15" customHeight="1" x14ac:dyDescent="0.25">
      <c r="A27" s="157" t="s">
        <v>100</v>
      </c>
      <c r="B27" s="158"/>
      <c r="C27" s="159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AGC27" s="39" t="s">
        <v>116</v>
      </c>
      <c r="AGD27" s="39">
        <v>21</v>
      </c>
      <c r="XFA27" s="40">
        <v>13</v>
      </c>
      <c r="XFB27" s="40">
        <v>0.9</v>
      </c>
    </row>
    <row r="28" spans="1:862 16381:16382" ht="15" customHeight="1" x14ac:dyDescent="0.25">
      <c r="A28" s="154" t="s">
        <v>96</v>
      </c>
      <c r="B28" s="155"/>
      <c r="C28" s="156"/>
      <c r="D28" s="99" t="s">
        <v>96</v>
      </c>
      <c r="E28" s="99" t="s">
        <v>95</v>
      </c>
      <c r="F28" s="99" t="s">
        <v>5</v>
      </c>
      <c r="G28" s="99" t="s">
        <v>6</v>
      </c>
      <c r="H28" s="99" t="s">
        <v>7</v>
      </c>
      <c r="I28" s="99" t="s">
        <v>8</v>
      </c>
      <c r="J28" s="99" t="s">
        <v>9</v>
      </c>
      <c r="K28" s="99" t="s">
        <v>10</v>
      </c>
      <c r="L28" s="99" t="s">
        <v>11</v>
      </c>
      <c r="M28" s="99" t="s">
        <v>12</v>
      </c>
      <c r="N28" s="99" t="s">
        <v>13</v>
      </c>
      <c r="O28" s="99" t="s">
        <v>14</v>
      </c>
      <c r="P28" s="99" t="s">
        <v>15</v>
      </c>
      <c r="Q28" s="99" t="s">
        <v>16</v>
      </c>
      <c r="R28" s="99" t="s">
        <v>94</v>
      </c>
      <c r="AGC28" s="39" t="s">
        <v>117</v>
      </c>
      <c r="AGD28" s="39">
        <v>4</v>
      </c>
      <c r="XFA28" s="40">
        <v>14</v>
      </c>
      <c r="XFB28" s="40">
        <v>0.9</v>
      </c>
    </row>
    <row r="29" spans="1:862 16381:16382" x14ac:dyDescent="0.25">
      <c r="A29" s="151" t="s">
        <v>98</v>
      </c>
      <c r="B29" s="152"/>
      <c r="C29" s="153"/>
      <c r="D29" s="120" t="s">
        <v>47</v>
      </c>
      <c r="E29" s="124" t="s">
        <v>99</v>
      </c>
      <c r="F29" s="125">
        <v>31</v>
      </c>
      <c r="G29" s="125">
        <v>28</v>
      </c>
      <c r="H29" s="125">
        <v>31</v>
      </c>
      <c r="I29" s="125">
        <v>30</v>
      </c>
      <c r="J29" s="125">
        <v>31</v>
      </c>
      <c r="K29" s="125">
        <v>30</v>
      </c>
      <c r="L29" s="125">
        <v>31</v>
      </c>
      <c r="M29" s="125">
        <v>31</v>
      </c>
      <c r="N29" s="125">
        <v>30</v>
      </c>
      <c r="O29" s="125">
        <v>31</v>
      </c>
      <c r="P29" s="125">
        <v>30</v>
      </c>
      <c r="Q29" s="125">
        <v>31</v>
      </c>
      <c r="R29" s="125">
        <f>SUM(F29:Q29)</f>
        <v>365</v>
      </c>
      <c r="AGC29" s="39" t="s">
        <v>118</v>
      </c>
      <c r="AGD29" s="39">
        <v>21</v>
      </c>
      <c r="XFA29" s="40">
        <v>15</v>
      </c>
      <c r="XFB29" s="40">
        <v>0.9</v>
      </c>
    </row>
    <row r="30" spans="1:862 16381:16382" ht="14.25" x14ac:dyDescent="0.25">
      <c r="A30" s="151" t="s">
        <v>87</v>
      </c>
      <c r="B30" s="152"/>
      <c r="C30" s="153"/>
      <c r="D30" s="120" t="s">
        <v>47</v>
      </c>
      <c r="E30" s="124" t="s">
        <v>88</v>
      </c>
      <c r="F30" s="126">
        <f>$E$19</f>
        <v>1764</v>
      </c>
      <c r="G30" s="126">
        <f t="shared" ref="G30:Q30" si="0">$E$19</f>
        <v>1764</v>
      </c>
      <c r="H30" s="126">
        <f t="shared" si="0"/>
        <v>1764</v>
      </c>
      <c r="I30" s="126">
        <f t="shared" si="0"/>
        <v>1764</v>
      </c>
      <c r="J30" s="126">
        <f t="shared" si="0"/>
        <v>1764</v>
      </c>
      <c r="K30" s="126">
        <f t="shared" si="0"/>
        <v>1764</v>
      </c>
      <c r="L30" s="126">
        <f t="shared" si="0"/>
        <v>1764</v>
      </c>
      <c r="M30" s="126">
        <f t="shared" si="0"/>
        <v>1764</v>
      </c>
      <c r="N30" s="126">
        <f t="shared" si="0"/>
        <v>1764</v>
      </c>
      <c r="O30" s="126">
        <f t="shared" si="0"/>
        <v>1764</v>
      </c>
      <c r="P30" s="126">
        <f t="shared" si="0"/>
        <v>1764</v>
      </c>
      <c r="Q30" s="126">
        <f t="shared" si="0"/>
        <v>1764</v>
      </c>
      <c r="R30" s="126">
        <f>SUM(F30:Q30)</f>
        <v>21168</v>
      </c>
      <c r="AGC30" s="39" t="s">
        <v>119</v>
      </c>
      <c r="AGD30" s="39">
        <v>28</v>
      </c>
      <c r="XFA30" s="40">
        <v>16</v>
      </c>
      <c r="XFB30" s="40">
        <v>0.9</v>
      </c>
    </row>
    <row r="31" spans="1:862 16381:16382" x14ac:dyDescent="0.25">
      <c r="A31" s="151" t="s">
        <v>89</v>
      </c>
      <c r="B31" s="152"/>
      <c r="C31" s="153"/>
      <c r="D31" s="124" t="s">
        <v>322</v>
      </c>
      <c r="E31" s="124" t="s">
        <v>90</v>
      </c>
      <c r="F31" s="126">
        <f>F29*F30</f>
        <v>54684</v>
      </c>
      <c r="G31" s="126">
        <f t="shared" ref="G31:Q31" si="1">G29*G30</f>
        <v>49392</v>
      </c>
      <c r="H31" s="126">
        <f t="shared" si="1"/>
        <v>54684</v>
      </c>
      <c r="I31" s="126">
        <f t="shared" si="1"/>
        <v>52920</v>
      </c>
      <c r="J31" s="126">
        <f t="shared" si="1"/>
        <v>54684</v>
      </c>
      <c r="K31" s="126">
        <f t="shared" si="1"/>
        <v>52920</v>
      </c>
      <c r="L31" s="126">
        <f t="shared" si="1"/>
        <v>54684</v>
      </c>
      <c r="M31" s="126">
        <f t="shared" si="1"/>
        <v>54684</v>
      </c>
      <c r="N31" s="126">
        <f t="shared" si="1"/>
        <v>52920</v>
      </c>
      <c r="O31" s="126">
        <f t="shared" si="1"/>
        <v>54684</v>
      </c>
      <c r="P31" s="126">
        <f t="shared" si="1"/>
        <v>52920</v>
      </c>
      <c r="Q31" s="126">
        <f t="shared" si="1"/>
        <v>54684</v>
      </c>
      <c r="R31" s="126">
        <f>SUM(F31:Q31)</f>
        <v>643860</v>
      </c>
      <c r="AGC31" s="39" t="s">
        <v>120</v>
      </c>
      <c r="AGD31" s="39">
        <v>21</v>
      </c>
      <c r="XFA31" s="40">
        <v>17</v>
      </c>
      <c r="XFB31" s="40">
        <v>0.9</v>
      </c>
    </row>
    <row r="32" spans="1:862 16381:16382" x14ac:dyDescent="0.25">
      <c r="A32" s="151" t="s">
        <v>78</v>
      </c>
      <c r="B32" s="152"/>
      <c r="C32" s="153"/>
      <c r="D32" s="120" t="s">
        <v>47</v>
      </c>
      <c r="E32" s="124" t="s">
        <v>3</v>
      </c>
      <c r="F32" s="125">
        <f t="shared" ref="F32:Q32" si="2">$D$24</f>
        <v>60</v>
      </c>
      <c r="G32" s="125">
        <f t="shared" si="2"/>
        <v>60</v>
      </c>
      <c r="H32" s="125">
        <f t="shared" si="2"/>
        <v>60</v>
      </c>
      <c r="I32" s="125">
        <f t="shared" si="2"/>
        <v>60</v>
      </c>
      <c r="J32" s="125">
        <f t="shared" si="2"/>
        <v>60</v>
      </c>
      <c r="K32" s="125">
        <f t="shared" si="2"/>
        <v>60</v>
      </c>
      <c r="L32" s="125">
        <f t="shared" si="2"/>
        <v>60</v>
      </c>
      <c r="M32" s="125">
        <f t="shared" si="2"/>
        <v>60</v>
      </c>
      <c r="N32" s="125">
        <f t="shared" si="2"/>
        <v>60</v>
      </c>
      <c r="O32" s="125">
        <f t="shared" si="2"/>
        <v>60</v>
      </c>
      <c r="P32" s="125">
        <f t="shared" si="2"/>
        <v>60</v>
      </c>
      <c r="Q32" s="125">
        <f t="shared" si="2"/>
        <v>60</v>
      </c>
      <c r="R32" s="127"/>
      <c r="AGC32" s="39" t="s">
        <v>121</v>
      </c>
      <c r="AGD32" s="39">
        <v>2</v>
      </c>
      <c r="XFA32" s="40">
        <v>18</v>
      </c>
      <c r="XFB32" s="40">
        <v>0.9</v>
      </c>
    </row>
    <row r="33" spans="1:862 16381:16382" x14ac:dyDescent="0.25">
      <c r="A33" s="151" t="s">
        <v>91</v>
      </c>
      <c r="B33" s="152"/>
      <c r="C33" s="153"/>
      <c r="D33" s="120" t="s">
        <v>321</v>
      </c>
      <c r="E33" s="124" t="s">
        <v>3</v>
      </c>
      <c r="F33" s="125">
        <f>INDEX(Aux!AF5:AF56,MATCH(E4,Aux!AU5:AU56,0),1)</f>
        <v>10</v>
      </c>
      <c r="G33" s="125">
        <f>INDEX(Aux!AG5:AG56,MATCH(E4,Aux!AU5:AU56,0),1)</f>
        <v>10</v>
      </c>
      <c r="H33" s="125">
        <f>INDEX(Aux!AH5:AH56,MATCH(E4,Aux!AU5:AU56,0),1)</f>
        <v>11</v>
      </c>
      <c r="I33" s="125">
        <f>INDEX(Aux!AI5:AI56,MATCH(E4,Aux!AU5:AU56,0),1)</f>
        <v>12</v>
      </c>
      <c r="J33" s="125">
        <f>INDEX(Aux!AJ5:AJ56,MATCH(E4,Aux!AU5:AU56,0),1)</f>
        <v>13</v>
      </c>
      <c r="K33" s="125">
        <f>INDEX(Aux!AK5:AK56,MATCH(E4,Aux!AU5:AU56,0),1)</f>
        <v>14</v>
      </c>
      <c r="L33" s="125">
        <f>INDEX(Aux!AL5:AL56,MATCH(E4,Aux!AU5:AU56,0),1)</f>
        <v>16</v>
      </c>
      <c r="M33" s="125">
        <f>INDEX(Aux!AM5:AM56,MATCH(E4,Aux!AU5:AU56,0),1)</f>
        <v>16</v>
      </c>
      <c r="N33" s="125">
        <f>INDEX(Aux!AN5:AN56,MATCH(E4,Aux!AU5:AU56,0),1)</f>
        <v>15</v>
      </c>
      <c r="O33" s="125">
        <f>INDEX(Aux!AO5:AO56,MATCH(E4,Aux!AU5:AU56,0),1)</f>
        <v>14</v>
      </c>
      <c r="P33" s="125">
        <f>INDEX(Aux!AP5:AP56,MATCH(E4,Aux!AU5:AU56,0),1)</f>
        <v>12</v>
      </c>
      <c r="Q33" s="125">
        <f>INDEX(Aux!AQ5:AQ56,MATCH(E4,Aux!AU5:AU56,0),1)</f>
        <v>11</v>
      </c>
      <c r="R33" s="127"/>
      <c r="S33" s="38" t="s">
        <v>319</v>
      </c>
      <c r="AGC33" s="39" t="s">
        <v>122</v>
      </c>
      <c r="AGD33" s="39">
        <v>21</v>
      </c>
      <c r="XFA33" s="40">
        <v>19</v>
      </c>
      <c r="XFB33" s="40">
        <v>0.9</v>
      </c>
    </row>
    <row r="34" spans="1:862 16381:16382" x14ac:dyDescent="0.25">
      <c r="A34" s="151" t="s">
        <v>92</v>
      </c>
      <c r="B34" s="152"/>
      <c r="C34" s="153"/>
      <c r="D34" s="120" t="s">
        <v>47</v>
      </c>
      <c r="E34" s="124" t="s">
        <v>3</v>
      </c>
      <c r="F34" s="125">
        <f>F32-F33</f>
        <v>50</v>
      </c>
      <c r="G34" s="125">
        <f t="shared" ref="G34:Q34" si="3">G32-G33</f>
        <v>50</v>
      </c>
      <c r="H34" s="125">
        <f t="shared" si="3"/>
        <v>49</v>
      </c>
      <c r="I34" s="125">
        <f t="shared" si="3"/>
        <v>48</v>
      </c>
      <c r="J34" s="125">
        <f t="shared" si="3"/>
        <v>47</v>
      </c>
      <c r="K34" s="125">
        <f t="shared" si="3"/>
        <v>46</v>
      </c>
      <c r="L34" s="125">
        <f t="shared" si="3"/>
        <v>44</v>
      </c>
      <c r="M34" s="125">
        <f t="shared" si="3"/>
        <v>44</v>
      </c>
      <c r="N34" s="125">
        <f t="shared" si="3"/>
        <v>45</v>
      </c>
      <c r="O34" s="125">
        <f t="shared" si="3"/>
        <v>46</v>
      </c>
      <c r="P34" s="125">
        <f t="shared" si="3"/>
        <v>48</v>
      </c>
      <c r="Q34" s="125">
        <f t="shared" si="3"/>
        <v>49</v>
      </c>
      <c r="R34" s="127"/>
      <c r="AGC34" s="39" t="s">
        <v>123</v>
      </c>
      <c r="AGD34" s="39">
        <v>8</v>
      </c>
      <c r="XFA34" s="40">
        <v>20</v>
      </c>
      <c r="XFB34" s="40">
        <v>0.9</v>
      </c>
    </row>
    <row r="35" spans="1:862 16381:16382" x14ac:dyDescent="0.25">
      <c r="A35" s="151" t="s">
        <v>93</v>
      </c>
      <c r="B35" s="152"/>
      <c r="C35" s="153"/>
      <c r="D35" s="124" t="s">
        <v>320</v>
      </c>
      <c r="E35" s="124" t="s">
        <v>4</v>
      </c>
      <c r="F35" s="128">
        <f>F31*F34*1.16/1000</f>
        <v>3171.672</v>
      </c>
      <c r="G35" s="128">
        <f t="shared" ref="G35:Q35" si="4">G31*G34*1.16/1000</f>
        <v>2864.7359999999999</v>
      </c>
      <c r="H35" s="128">
        <f t="shared" si="4"/>
        <v>3108.2385599999998</v>
      </c>
      <c r="I35" s="128">
        <f t="shared" si="4"/>
        <v>2946.5855999999994</v>
      </c>
      <c r="J35" s="128">
        <f t="shared" si="4"/>
        <v>2981.3716799999997</v>
      </c>
      <c r="K35" s="128">
        <f t="shared" si="4"/>
        <v>2823.8111999999996</v>
      </c>
      <c r="L35" s="128">
        <f t="shared" si="4"/>
        <v>2791.0713599999999</v>
      </c>
      <c r="M35" s="128">
        <f t="shared" si="4"/>
        <v>2791.0713599999999</v>
      </c>
      <c r="N35" s="128">
        <f t="shared" si="4"/>
        <v>2762.424</v>
      </c>
      <c r="O35" s="128">
        <f t="shared" si="4"/>
        <v>2917.93824</v>
      </c>
      <c r="P35" s="128">
        <f t="shared" si="4"/>
        <v>2946.5855999999994</v>
      </c>
      <c r="Q35" s="128">
        <f t="shared" si="4"/>
        <v>3108.2385599999998</v>
      </c>
      <c r="R35" s="128">
        <f>SUM(F35:Q35)</f>
        <v>35213.744160000002</v>
      </c>
      <c r="AGC35" s="39" t="s">
        <v>124</v>
      </c>
      <c r="AGD35" s="39">
        <v>1</v>
      </c>
      <c r="XFA35" s="40">
        <v>21</v>
      </c>
      <c r="XFB35" s="40">
        <v>0.85</v>
      </c>
    </row>
    <row r="36" spans="1:862 16381:16382" ht="14.25" x14ac:dyDescent="0.25">
      <c r="XFA36" s="40">
        <v>22</v>
      </c>
      <c r="XFB36" s="40">
        <v>0.85</v>
      </c>
    </row>
    <row r="37" spans="1:862 16381:16382" ht="15" customHeight="1" x14ac:dyDescent="0.25">
      <c r="XFA37" s="40">
        <v>23</v>
      </c>
      <c r="XFB37" s="40">
        <v>0.85</v>
      </c>
    </row>
    <row r="38" spans="1:862 16381:16382" ht="14.25" x14ac:dyDescent="0.25">
      <c r="XFA38" s="40">
        <v>24</v>
      </c>
      <c r="XFB38" s="40">
        <v>0.85</v>
      </c>
    </row>
    <row r="39" spans="1:862 16381:16382" x14ac:dyDescent="0.25">
      <c r="XFA39" s="40">
        <v>25</v>
      </c>
      <c r="XFB39" s="40">
        <v>0.85</v>
      </c>
    </row>
    <row r="40" spans="1:862 16381:16382" x14ac:dyDescent="0.25">
      <c r="XFA40" s="40">
        <v>26</v>
      </c>
      <c r="XFB40" s="40">
        <v>0.85</v>
      </c>
    </row>
    <row r="41" spans="1:862 16381:16382" x14ac:dyDescent="0.25">
      <c r="XFA41" s="40">
        <v>27</v>
      </c>
      <c r="XFB41" s="40">
        <v>0.85</v>
      </c>
    </row>
    <row r="42" spans="1:862 16381:16382" x14ac:dyDescent="0.25">
      <c r="XFA42" s="40">
        <v>28</v>
      </c>
      <c r="XFB42" s="40">
        <v>0.85</v>
      </c>
    </row>
    <row r="43" spans="1:862 16381:16382" x14ac:dyDescent="0.25">
      <c r="XFA43" s="40">
        <v>29</v>
      </c>
      <c r="XFB43" s="40">
        <v>0.85</v>
      </c>
    </row>
    <row r="44" spans="1:862 16381:16382" x14ac:dyDescent="0.25">
      <c r="XFA44" s="40">
        <v>30</v>
      </c>
      <c r="XFB44" s="40">
        <v>0.85</v>
      </c>
    </row>
    <row r="45" spans="1:862 16381:16382" x14ac:dyDescent="0.25">
      <c r="XFA45" s="40">
        <v>31</v>
      </c>
      <c r="XFB45" s="40">
        <v>0.85</v>
      </c>
    </row>
    <row r="46" spans="1:862 16381:16382" x14ac:dyDescent="0.25">
      <c r="XFA46" s="40">
        <v>32</v>
      </c>
      <c r="XFB46" s="40">
        <v>0.85</v>
      </c>
    </row>
    <row r="47" spans="1:862 16381:16382" x14ac:dyDescent="0.25">
      <c r="XFA47" s="40">
        <v>33</v>
      </c>
      <c r="XFB47" s="40">
        <v>0.85</v>
      </c>
    </row>
    <row r="48" spans="1:862 16381:16382" x14ac:dyDescent="0.25">
      <c r="XFA48" s="40">
        <v>34</v>
      </c>
      <c r="XFB48" s="40">
        <v>0.85</v>
      </c>
    </row>
    <row r="49" spans="16381:16382" x14ac:dyDescent="0.25">
      <c r="XFA49" s="40">
        <v>35</v>
      </c>
      <c r="XFB49" s="40">
        <v>0.85</v>
      </c>
    </row>
    <row r="50" spans="16381:16382" x14ac:dyDescent="0.25">
      <c r="XFA50" s="40">
        <v>36</v>
      </c>
      <c r="XFB50" s="40">
        <v>0.85</v>
      </c>
    </row>
    <row r="51" spans="16381:16382" x14ac:dyDescent="0.25">
      <c r="XFA51" s="40">
        <v>37</v>
      </c>
      <c r="XFB51" s="40">
        <v>0.85</v>
      </c>
    </row>
    <row r="52" spans="16381:16382" x14ac:dyDescent="0.25">
      <c r="XFA52" s="40">
        <v>38</v>
      </c>
      <c r="XFB52" s="40">
        <v>0.85</v>
      </c>
    </row>
    <row r="53" spans="16381:16382" x14ac:dyDescent="0.25">
      <c r="XFA53" s="40">
        <v>39</v>
      </c>
      <c r="XFB53" s="40">
        <v>0.85</v>
      </c>
    </row>
    <row r="54" spans="16381:16382" x14ac:dyDescent="0.25">
      <c r="XFA54" s="40">
        <v>40</v>
      </c>
      <c r="XFB54" s="40">
        <v>0.85</v>
      </c>
    </row>
    <row r="55" spans="16381:16382" x14ac:dyDescent="0.25">
      <c r="XFA55" s="40">
        <v>41</v>
      </c>
      <c r="XFB55" s="40">
        <v>0.85</v>
      </c>
    </row>
    <row r="56" spans="16381:16382" x14ac:dyDescent="0.25">
      <c r="XFA56" s="40">
        <v>42</v>
      </c>
      <c r="XFB56" s="40">
        <v>0.85</v>
      </c>
    </row>
    <row r="57" spans="16381:16382" x14ac:dyDescent="0.25">
      <c r="XFA57" s="40">
        <v>43</v>
      </c>
      <c r="XFB57" s="40">
        <v>0.85</v>
      </c>
    </row>
    <row r="58" spans="16381:16382" x14ac:dyDescent="0.25">
      <c r="XFA58" s="40">
        <v>44</v>
      </c>
      <c r="XFB58" s="40">
        <v>0.85</v>
      </c>
    </row>
    <row r="59" spans="16381:16382" x14ac:dyDescent="0.25">
      <c r="XFA59" s="40">
        <v>45</v>
      </c>
      <c r="XFB59" s="40">
        <v>0.85</v>
      </c>
    </row>
    <row r="60" spans="16381:16382" x14ac:dyDescent="0.25">
      <c r="XFA60" s="40">
        <v>46</v>
      </c>
      <c r="XFB60" s="40">
        <v>0.85</v>
      </c>
    </row>
    <row r="61" spans="16381:16382" x14ac:dyDescent="0.25">
      <c r="XFA61" s="40">
        <v>47</v>
      </c>
      <c r="XFB61" s="40">
        <v>0.85</v>
      </c>
    </row>
    <row r="62" spans="16381:16382" x14ac:dyDescent="0.25">
      <c r="XFA62" s="40">
        <v>48</v>
      </c>
      <c r="XFB62" s="40">
        <v>0.85</v>
      </c>
    </row>
    <row r="63" spans="16381:16382" x14ac:dyDescent="0.25">
      <c r="XFA63" s="40">
        <v>49</v>
      </c>
      <c r="XFB63" s="40">
        <v>0.85</v>
      </c>
    </row>
    <row r="64" spans="16381:16382" x14ac:dyDescent="0.25">
      <c r="XFA64" s="40">
        <v>50</v>
      </c>
      <c r="XFB64" s="40">
        <v>0.85</v>
      </c>
    </row>
    <row r="65" spans="16381:16382" x14ac:dyDescent="0.25">
      <c r="XFA65" s="40">
        <v>51</v>
      </c>
      <c r="XFB65" s="40">
        <v>0.8</v>
      </c>
    </row>
    <row r="66" spans="16381:16382" x14ac:dyDescent="0.25">
      <c r="XFA66" s="40">
        <v>52</v>
      </c>
      <c r="XFB66" s="40">
        <v>0.8</v>
      </c>
    </row>
    <row r="67" spans="16381:16382" x14ac:dyDescent="0.25">
      <c r="XFA67" s="40">
        <v>53</v>
      </c>
      <c r="XFB67" s="40">
        <v>0.8</v>
      </c>
    </row>
    <row r="68" spans="16381:16382" x14ac:dyDescent="0.25">
      <c r="XFA68" s="40">
        <v>54</v>
      </c>
      <c r="XFB68" s="40">
        <v>0.8</v>
      </c>
    </row>
    <row r="69" spans="16381:16382" x14ac:dyDescent="0.25">
      <c r="XFA69" s="40">
        <v>55</v>
      </c>
      <c r="XFB69" s="40">
        <v>0.8</v>
      </c>
    </row>
    <row r="70" spans="16381:16382" x14ac:dyDescent="0.25">
      <c r="XFA70" s="40">
        <v>56</v>
      </c>
      <c r="XFB70" s="40">
        <v>0.8</v>
      </c>
    </row>
    <row r="71" spans="16381:16382" x14ac:dyDescent="0.25">
      <c r="XFA71" s="40">
        <v>57</v>
      </c>
      <c r="XFB71" s="40">
        <v>0.8</v>
      </c>
    </row>
    <row r="72" spans="16381:16382" x14ac:dyDescent="0.25">
      <c r="XFA72" s="40">
        <v>58</v>
      </c>
      <c r="XFB72" s="40">
        <v>0.8</v>
      </c>
    </row>
    <row r="73" spans="16381:16382" x14ac:dyDescent="0.25">
      <c r="XFA73" s="40">
        <v>59</v>
      </c>
      <c r="XFB73" s="40">
        <v>0.8</v>
      </c>
    </row>
    <row r="74" spans="16381:16382" x14ac:dyDescent="0.25">
      <c r="XFA74" s="40">
        <v>60</v>
      </c>
      <c r="XFB74" s="40">
        <v>0.8</v>
      </c>
    </row>
    <row r="75" spans="16381:16382" x14ac:dyDescent="0.25">
      <c r="XFA75" s="40">
        <v>61</v>
      </c>
      <c r="XFB75" s="40">
        <v>0.8</v>
      </c>
    </row>
    <row r="76" spans="16381:16382" x14ac:dyDescent="0.25">
      <c r="XFA76" s="40">
        <v>62</v>
      </c>
      <c r="XFB76" s="40">
        <v>0.8</v>
      </c>
    </row>
    <row r="77" spans="16381:16382" x14ac:dyDescent="0.25">
      <c r="XFA77" s="40">
        <v>63</v>
      </c>
      <c r="XFB77" s="40">
        <v>0.8</v>
      </c>
    </row>
    <row r="78" spans="16381:16382" x14ac:dyDescent="0.25">
      <c r="XFA78" s="40">
        <v>64</v>
      </c>
      <c r="XFB78" s="40">
        <v>0.8</v>
      </c>
    </row>
    <row r="79" spans="16381:16382" x14ac:dyDescent="0.25">
      <c r="XFA79" s="40">
        <v>65</v>
      </c>
      <c r="XFB79" s="40">
        <v>0.8</v>
      </c>
    </row>
    <row r="80" spans="16381:16382" x14ac:dyDescent="0.25">
      <c r="XFA80" s="40">
        <v>66</v>
      </c>
      <c r="XFB80" s="40">
        <v>0.8</v>
      </c>
    </row>
    <row r="81" spans="16381:16382" x14ac:dyDescent="0.25">
      <c r="XFA81" s="40">
        <v>67</v>
      </c>
      <c r="XFB81" s="40">
        <v>0.8</v>
      </c>
    </row>
    <row r="82" spans="16381:16382" x14ac:dyDescent="0.25">
      <c r="XFA82" s="40">
        <v>68</v>
      </c>
      <c r="XFB82" s="40">
        <v>0.8</v>
      </c>
    </row>
    <row r="83" spans="16381:16382" x14ac:dyDescent="0.25">
      <c r="XFA83" s="40">
        <v>69</v>
      </c>
      <c r="XFB83" s="40">
        <v>0.8</v>
      </c>
    </row>
    <row r="84" spans="16381:16382" x14ac:dyDescent="0.25">
      <c r="XFA84" s="40">
        <v>70</v>
      </c>
      <c r="XFB84" s="40">
        <v>0.8</v>
      </c>
    </row>
    <row r="85" spans="16381:16382" x14ac:dyDescent="0.25">
      <c r="XFA85" s="40">
        <v>71</v>
      </c>
      <c r="XFB85" s="40">
        <v>0.8</v>
      </c>
    </row>
    <row r="86" spans="16381:16382" x14ac:dyDescent="0.25">
      <c r="XFA86" s="40">
        <v>72</v>
      </c>
      <c r="XFB86" s="40">
        <v>0.8</v>
      </c>
    </row>
    <row r="87" spans="16381:16382" x14ac:dyDescent="0.25">
      <c r="XFA87" s="40">
        <v>73</v>
      </c>
      <c r="XFB87" s="40">
        <v>0.8</v>
      </c>
    </row>
    <row r="88" spans="16381:16382" x14ac:dyDescent="0.25">
      <c r="XFA88" s="40">
        <v>74</v>
      </c>
      <c r="XFB88" s="40">
        <v>0.8</v>
      </c>
    </row>
    <row r="89" spans="16381:16382" x14ac:dyDescent="0.25">
      <c r="XFA89" s="40">
        <v>75</v>
      </c>
      <c r="XFB89" s="40">
        <v>0.8</v>
      </c>
    </row>
    <row r="90" spans="16381:16382" x14ac:dyDescent="0.25">
      <c r="XFA90" s="40">
        <v>76</v>
      </c>
      <c r="XFB90" s="40">
        <v>0.75</v>
      </c>
    </row>
    <row r="91" spans="16381:16382" x14ac:dyDescent="0.25">
      <c r="XFA91" s="40">
        <v>77</v>
      </c>
      <c r="XFB91" s="40">
        <v>0.75</v>
      </c>
    </row>
    <row r="92" spans="16381:16382" x14ac:dyDescent="0.25">
      <c r="XFA92" s="40">
        <v>78</v>
      </c>
      <c r="XFB92" s="40">
        <v>0.75</v>
      </c>
    </row>
    <row r="93" spans="16381:16382" x14ac:dyDescent="0.25">
      <c r="XFA93" s="40">
        <v>79</v>
      </c>
      <c r="XFB93" s="40">
        <v>0.75</v>
      </c>
    </row>
    <row r="94" spans="16381:16382" x14ac:dyDescent="0.25">
      <c r="XFA94" s="40">
        <v>80</v>
      </c>
      <c r="XFB94" s="40">
        <v>0.75</v>
      </c>
    </row>
    <row r="95" spans="16381:16382" x14ac:dyDescent="0.25">
      <c r="XFA95" s="40">
        <v>81</v>
      </c>
      <c r="XFB95" s="40">
        <v>0.75</v>
      </c>
    </row>
    <row r="96" spans="16381:16382" x14ac:dyDescent="0.25">
      <c r="XFA96" s="40">
        <v>82</v>
      </c>
      <c r="XFB96" s="40">
        <v>0.75</v>
      </c>
    </row>
    <row r="97" spans="16381:16382" x14ac:dyDescent="0.25">
      <c r="XFA97" s="40">
        <v>83</v>
      </c>
      <c r="XFB97" s="40">
        <v>0.75</v>
      </c>
    </row>
    <row r="98" spans="16381:16382" x14ac:dyDescent="0.25">
      <c r="XFA98" s="40">
        <v>84</v>
      </c>
      <c r="XFB98" s="40">
        <v>0.75</v>
      </c>
    </row>
    <row r="99" spans="16381:16382" x14ac:dyDescent="0.25">
      <c r="XFA99" s="40">
        <v>85</v>
      </c>
      <c r="XFB99" s="40">
        <v>0.75</v>
      </c>
    </row>
    <row r="100" spans="16381:16382" x14ac:dyDescent="0.25">
      <c r="XFA100" s="40">
        <v>86</v>
      </c>
      <c r="XFB100" s="40">
        <v>0.75</v>
      </c>
    </row>
    <row r="101" spans="16381:16382" x14ac:dyDescent="0.25">
      <c r="XFA101" s="40">
        <v>87</v>
      </c>
      <c r="XFB101" s="40">
        <v>0.75</v>
      </c>
    </row>
    <row r="102" spans="16381:16382" x14ac:dyDescent="0.25">
      <c r="XFA102" s="40">
        <v>88</v>
      </c>
      <c r="XFB102" s="40">
        <v>0.75</v>
      </c>
    </row>
    <row r="103" spans="16381:16382" x14ac:dyDescent="0.25">
      <c r="XFA103" s="40">
        <v>89</v>
      </c>
      <c r="XFB103" s="40">
        <v>0.75</v>
      </c>
    </row>
    <row r="104" spans="16381:16382" x14ac:dyDescent="0.25">
      <c r="XFA104" s="40">
        <v>90</v>
      </c>
      <c r="XFB104" s="40">
        <v>0.75</v>
      </c>
    </row>
    <row r="105" spans="16381:16382" x14ac:dyDescent="0.25">
      <c r="XFA105" s="40">
        <v>91</v>
      </c>
      <c r="XFB105" s="40">
        <v>0.75</v>
      </c>
    </row>
    <row r="106" spans="16381:16382" x14ac:dyDescent="0.25">
      <c r="XFA106" s="40">
        <v>92</v>
      </c>
      <c r="XFB106" s="40">
        <v>0.75</v>
      </c>
    </row>
    <row r="107" spans="16381:16382" x14ac:dyDescent="0.25">
      <c r="XFA107" s="40">
        <v>93</v>
      </c>
      <c r="XFB107" s="40">
        <v>0.75</v>
      </c>
    </row>
    <row r="108" spans="16381:16382" x14ac:dyDescent="0.25">
      <c r="XFA108" s="40">
        <v>94</v>
      </c>
      <c r="XFB108" s="40">
        <v>0.75</v>
      </c>
    </row>
    <row r="109" spans="16381:16382" x14ac:dyDescent="0.25">
      <c r="XFA109" s="40">
        <v>95</v>
      </c>
      <c r="XFB109" s="40">
        <v>0.75</v>
      </c>
    </row>
    <row r="110" spans="16381:16382" x14ac:dyDescent="0.25">
      <c r="XFA110" s="40">
        <v>96</v>
      </c>
      <c r="XFB110" s="40">
        <v>0.75</v>
      </c>
    </row>
    <row r="111" spans="16381:16382" x14ac:dyDescent="0.25">
      <c r="XFA111" s="40">
        <v>97</v>
      </c>
      <c r="XFB111" s="40">
        <v>0.75</v>
      </c>
    </row>
    <row r="112" spans="16381:16382" x14ac:dyDescent="0.25">
      <c r="XFA112" s="40">
        <v>98</v>
      </c>
      <c r="XFB112" s="40">
        <v>0.75</v>
      </c>
    </row>
    <row r="113" spans="16381:16382" x14ac:dyDescent="0.25">
      <c r="XFA113" s="40">
        <v>99</v>
      </c>
      <c r="XFB113" s="40">
        <v>0.75</v>
      </c>
    </row>
    <row r="114" spans="16381:16382" x14ac:dyDescent="0.25">
      <c r="XFA114" s="40">
        <v>100</v>
      </c>
      <c r="XFB114" s="40">
        <v>0.75</v>
      </c>
    </row>
    <row r="115" spans="16381:16382" x14ac:dyDescent="0.25">
      <c r="XFA115" s="40">
        <v>101</v>
      </c>
      <c r="XFB115" s="40">
        <v>0.7</v>
      </c>
    </row>
    <row r="116" spans="16381:16382" x14ac:dyDescent="0.25">
      <c r="XFA116" s="40">
        <v>102</v>
      </c>
      <c r="XFB116" s="40">
        <v>0.7</v>
      </c>
    </row>
    <row r="117" spans="16381:16382" x14ac:dyDescent="0.25">
      <c r="XFA117" s="40">
        <v>103</v>
      </c>
      <c r="XFB117" s="40">
        <v>0.7</v>
      </c>
    </row>
    <row r="118" spans="16381:16382" x14ac:dyDescent="0.25">
      <c r="XFA118" s="40">
        <v>104</v>
      </c>
      <c r="XFB118" s="40">
        <v>0.7</v>
      </c>
    </row>
    <row r="119" spans="16381:16382" x14ac:dyDescent="0.25">
      <c r="XFA119" s="40">
        <v>105</v>
      </c>
      <c r="XFB119" s="40">
        <v>0.7</v>
      </c>
    </row>
    <row r="120" spans="16381:16382" x14ac:dyDescent="0.25">
      <c r="XFA120" s="40">
        <v>106</v>
      </c>
      <c r="XFB120" s="40">
        <v>0.7</v>
      </c>
    </row>
    <row r="121" spans="16381:16382" x14ac:dyDescent="0.25">
      <c r="XFA121" s="40">
        <v>107</v>
      </c>
      <c r="XFB121" s="40">
        <v>0.7</v>
      </c>
    </row>
    <row r="122" spans="16381:16382" x14ac:dyDescent="0.25">
      <c r="XFA122" s="40">
        <v>108</v>
      </c>
      <c r="XFB122" s="40">
        <v>0.7</v>
      </c>
    </row>
    <row r="123" spans="16381:16382" x14ac:dyDescent="0.25">
      <c r="XFA123" s="40">
        <v>109</v>
      </c>
      <c r="XFB123" s="40">
        <v>0.7</v>
      </c>
    </row>
    <row r="124" spans="16381:16382" x14ac:dyDescent="0.25">
      <c r="XFA124" s="40">
        <v>110</v>
      </c>
      <c r="XFB124" s="40">
        <v>0.7</v>
      </c>
    </row>
    <row r="125" spans="16381:16382" x14ac:dyDescent="0.25">
      <c r="XFA125" s="40">
        <v>111</v>
      </c>
      <c r="XFB125" s="40">
        <v>0.7</v>
      </c>
    </row>
    <row r="126" spans="16381:16382" x14ac:dyDescent="0.25">
      <c r="XFA126" s="40">
        <v>112</v>
      </c>
      <c r="XFB126" s="40">
        <v>0.7</v>
      </c>
    </row>
    <row r="127" spans="16381:16382" x14ac:dyDescent="0.25">
      <c r="XFA127" s="40">
        <v>113</v>
      </c>
      <c r="XFB127" s="40">
        <v>0.7</v>
      </c>
    </row>
    <row r="128" spans="16381:16382" x14ac:dyDescent="0.25">
      <c r="XFA128" s="40">
        <v>114</v>
      </c>
      <c r="XFB128" s="40">
        <v>0.7</v>
      </c>
    </row>
    <row r="129" spans="16381:16382" x14ac:dyDescent="0.25">
      <c r="XFA129" s="40">
        <v>115</v>
      </c>
      <c r="XFB129" s="40">
        <v>0.7</v>
      </c>
    </row>
    <row r="130" spans="16381:16382" x14ac:dyDescent="0.25">
      <c r="XFA130" s="40">
        <v>116</v>
      </c>
      <c r="XFB130" s="40">
        <v>0.7</v>
      </c>
    </row>
    <row r="131" spans="16381:16382" x14ac:dyDescent="0.25">
      <c r="XFA131" s="40">
        <v>117</v>
      </c>
      <c r="XFB131" s="40">
        <v>0.7</v>
      </c>
    </row>
    <row r="132" spans="16381:16382" x14ac:dyDescent="0.25">
      <c r="XFA132" s="40">
        <v>118</v>
      </c>
      <c r="XFB132" s="40">
        <v>0.7</v>
      </c>
    </row>
    <row r="133" spans="16381:16382" x14ac:dyDescent="0.25">
      <c r="XFA133" s="40">
        <v>119</v>
      </c>
      <c r="XFB133" s="40">
        <v>0.7</v>
      </c>
    </row>
    <row r="134" spans="16381:16382" x14ac:dyDescent="0.25">
      <c r="XFA134" s="40">
        <v>120</v>
      </c>
      <c r="XFB134" s="40">
        <v>0.7</v>
      </c>
    </row>
    <row r="135" spans="16381:16382" x14ac:dyDescent="0.25">
      <c r="XFA135" s="40">
        <v>121</v>
      </c>
      <c r="XFB135" s="40">
        <v>0.7</v>
      </c>
    </row>
    <row r="136" spans="16381:16382" x14ac:dyDescent="0.25">
      <c r="XFA136" s="40">
        <v>122</v>
      </c>
      <c r="XFB136" s="40">
        <v>0.7</v>
      </c>
    </row>
    <row r="137" spans="16381:16382" x14ac:dyDescent="0.25">
      <c r="XFA137" s="40">
        <v>123</v>
      </c>
      <c r="XFB137" s="40">
        <v>0.7</v>
      </c>
    </row>
    <row r="138" spans="16381:16382" x14ac:dyDescent="0.25">
      <c r="XFA138" s="40">
        <v>124</v>
      </c>
      <c r="XFB138" s="40">
        <v>0.7</v>
      </c>
    </row>
    <row r="139" spans="16381:16382" x14ac:dyDescent="0.25">
      <c r="XFA139" s="40">
        <v>125</v>
      </c>
      <c r="XFB139" s="40">
        <v>0.7</v>
      </c>
    </row>
    <row r="140" spans="16381:16382" x14ac:dyDescent="0.25">
      <c r="XFA140" s="40">
        <v>126</v>
      </c>
      <c r="XFB140" s="40">
        <v>0.7</v>
      </c>
    </row>
    <row r="141" spans="16381:16382" x14ac:dyDescent="0.25">
      <c r="XFA141" s="40">
        <v>127</v>
      </c>
      <c r="XFB141" s="40">
        <v>0.7</v>
      </c>
    </row>
    <row r="142" spans="16381:16382" x14ac:dyDescent="0.25">
      <c r="XFA142" s="40">
        <v>128</v>
      </c>
      <c r="XFB142" s="40">
        <v>0.7</v>
      </c>
    </row>
    <row r="143" spans="16381:16382" x14ac:dyDescent="0.25">
      <c r="XFA143" s="40">
        <v>129</v>
      </c>
      <c r="XFB143" s="40">
        <v>0.7</v>
      </c>
    </row>
    <row r="144" spans="16381:16382" x14ac:dyDescent="0.25">
      <c r="XFA144" s="40">
        <v>130</v>
      </c>
      <c r="XFB144" s="40">
        <v>0.7</v>
      </c>
    </row>
    <row r="145" spans="16381:16382" x14ac:dyDescent="0.25">
      <c r="XFA145" s="40">
        <v>131</v>
      </c>
      <c r="XFB145" s="40">
        <v>0.7</v>
      </c>
    </row>
    <row r="146" spans="16381:16382" x14ac:dyDescent="0.25">
      <c r="XFA146" s="40">
        <v>132</v>
      </c>
      <c r="XFB146" s="40">
        <v>0.7</v>
      </c>
    </row>
    <row r="147" spans="16381:16382" x14ac:dyDescent="0.25">
      <c r="XFA147" s="40">
        <v>133</v>
      </c>
      <c r="XFB147" s="40">
        <v>0.7</v>
      </c>
    </row>
    <row r="148" spans="16381:16382" x14ac:dyDescent="0.25">
      <c r="XFA148" s="40">
        <v>134</v>
      </c>
      <c r="XFB148" s="40">
        <v>0.7</v>
      </c>
    </row>
    <row r="149" spans="16381:16382" x14ac:dyDescent="0.25">
      <c r="XFA149" s="40">
        <v>135</v>
      </c>
      <c r="XFB149" s="40">
        <v>0.7</v>
      </c>
    </row>
    <row r="150" spans="16381:16382" x14ac:dyDescent="0.25">
      <c r="XFA150" s="40">
        <v>136</v>
      </c>
      <c r="XFB150" s="40">
        <v>0.7</v>
      </c>
    </row>
    <row r="151" spans="16381:16382" x14ac:dyDescent="0.25">
      <c r="XFA151" s="40">
        <v>137</v>
      </c>
      <c r="XFB151" s="40">
        <v>0.7</v>
      </c>
    </row>
    <row r="152" spans="16381:16382" x14ac:dyDescent="0.25">
      <c r="XFA152" s="40">
        <v>138</v>
      </c>
      <c r="XFB152" s="40">
        <v>0.7</v>
      </c>
    </row>
    <row r="153" spans="16381:16382" x14ac:dyDescent="0.25">
      <c r="XFA153" s="40">
        <v>139</v>
      </c>
      <c r="XFB153" s="40">
        <v>0.7</v>
      </c>
    </row>
    <row r="154" spans="16381:16382" x14ac:dyDescent="0.25">
      <c r="XFA154" s="40">
        <v>140</v>
      </c>
      <c r="XFB154" s="40">
        <v>0.7</v>
      </c>
    </row>
    <row r="155" spans="16381:16382" x14ac:dyDescent="0.25">
      <c r="XFA155" s="40">
        <v>141</v>
      </c>
      <c r="XFB155" s="40">
        <v>0.7</v>
      </c>
    </row>
    <row r="156" spans="16381:16382" x14ac:dyDescent="0.25">
      <c r="XFA156" s="40">
        <v>142</v>
      </c>
      <c r="XFB156" s="40">
        <v>0.7</v>
      </c>
    </row>
    <row r="157" spans="16381:16382" x14ac:dyDescent="0.25">
      <c r="XFA157" s="40">
        <v>143</v>
      </c>
      <c r="XFB157" s="40">
        <v>0.7</v>
      </c>
    </row>
    <row r="158" spans="16381:16382" x14ac:dyDescent="0.25">
      <c r="XFA158" s="40">
        <v>144</v>
      </c>
      <c r="XFB158" s="40">
        <v>0.7</v>
      </c>
    </row>
    <row r="159" spans="16381:16382" x14ac:dyDescent="0.25">
      <c r="XFA159" s="40">
        <v>145</v>
      </c>
      <c r="XFB159" s="40">
        <v>0.7</v>
      </c>
    </row>
    <row r="160" spans="16381:16382" x14ac:dyDescent="0.25">
      <c r="XFA160" s="40">
        <v>146</v>
      </c>
      <c r="XFB160" s="40">
        <v>0.7</v>
      </c>
    </row>
    <row r="161" spans="16381:16382" x14ac:dyDescent="0.25">
      <c r="XFA161" s="40">
        <v>147</v>
      </c>
      <c r="XFB161" s="40">
        <v>0.7</v>
      </c>
    </row>
    <row r="162" spans="16381:16382" x14ac:dyDescent="0.25">
      <c r="XFA162" s="40">
        <v>148</v>
      </c>
      <c r="XFB162" s="40">
        <v>0.7</v>
      </c>
    </row>
    <row r="163" spans="16381:16382" x14ac:dyDescent="0.25">
      <c r="XFA163" s="40">
        <v>149</v>
      </c>
      <c r="XFB163" s="40">
        <v>0.7</v>
      </c>
    </row>
    <row r="164" spans="16381:16382" x14ac:dyDescent="0.25">
      <c r="XFA164" s="40">
        <v>150</v>
      </c>
      <c r="XFB164" s="40">
        <v>0.7</v>
      </c>
    </row>
    <row r="165" spans="16381:16382" x14ac:dyDescent="0.25">
      <c r="XFA165" s="40">
        <v>151</v>
      </c>
      <c r="XFB165" s="40">
        <v>0.7</v>
      </c>
    </row>
    <row r="166" spans="16381:16382" x14ac:dyDescent="0.25">
      <c r="XFA166" s="40">
        <v>152</v>
      </c>
      <c r="XFB166" s="40">
        <v>0.7</v>
      </c>
    </row>
    <row r="167" spans="16381:16382" x14ac:dyDescent="0.25">
      <c r="XFA167" s="40">
        <v>153</v>
      </c>
      <c r="XFB167" s="40">
        <v>0.7</v>
      </c>
    </row>
    <row r="168" spans="16381:16382" x14ac:dyDescent="0.25">
      <c r="XFA168" s="40">
        <v>154</v>
      </c>
      <c r="XFB168" s="40">
        <v>0.7</v>
      </c>
    </row>
    <row r="169" spans="16381:16382" x14ac:dyDescent="0.25">
      <c r="XFA169" s="40">
        <v>155</v>
      </c>
      <c r="XFB169" s="40">
        <v>0.7</v>
      </c>
    </row>
    <row r="170" spans="16381:16382" x14ac:dyDescent="0.25">
      <c r="XFA170" s="40">
        <v>156</v>
      </c>
      <c r="XFB170" s="40">
        <v>0.7</v>
      </c>
    </row>
    <row r="171" spans="16381:16382" x14ac:dyDescent="0.25">
      <c r="XFA171" s="40">
        <v>157</v>
      </c>
      <c r="XFB171" s="40">
        <v>0.7</v>
      </c>
    </row>
    <row r="172" spans="16381:16382" x14ac:dyDescent="0.25">
      <c r="XFA172" s="40">
        <v>158</v>
      </c>
      <c r="XFB172" s="40">
        <v>0.7</v>
      </c>
    </row>
    <row r="173" spans="16381:16382" x14ac:dyDescent="0.25">
      <c r="XFA173" s="40">
        <v>159</v>
      </c>
      <c r="XFB173" s="40">
        <v>0.7</v>
      </c>
    </row>
    <row r="174" spans="16381:16382" x14ac:dyDescent="0.25">
      <c r="XFA174" s="40">
        <v>160</v>
      </c>
      <c r="XFB174" s="40">
        <v>0.7</v>
      </c>
    </row>
    <row r="175" spans="16381:16382" x14ac:dyDescent="0.25">
      <c r="XFA175" s="40">
        <v>161</v>
      </c>
      <c r="XFB175" s="40">
        <v>0.7</v>
      </c>
    </row>
    <row r="176" spans="16381:16382" x14ac:dyDescent="0.25">
      <c r="XFA176" s="40">
        <v>162</v>
      </c>
      <c r="XFB176" s="40">
        <v>0.7</v>
      </c>
    </row>
    <row r="177" spans="16381:16382" x14ac:dyDescent="0.25">
      <c r="XFA177" s="40">
        <v>163</v>
      </c>
      <c r="XFB177" s="40">
        <v>0.7</v>
      </c>
    </row>
    <row r="178" spans="16381:16382" x14ac:dyDescent="0.25">
      <c r="XFA178" s="40">
        <v>164</v>
      </c>
      <c r="XFB178" s="40">
        <v>0.7</v>
      </c>
    </row>
    <row r="179" spans="16381:16382" x14ac:dyDescent="0.25">
      <c r="XFA179" s="40">
        <v>165</v>
      </c>
      <c r="XFB179" s="40">
        <v>0.7</v>
      </c>
    </row>
    <row r="180" spans="16381:16382" x14ac:dyDescent="0.25">
      <c r="XFA180" s="40">
        <v>166</v>
      </c>
      <c r="XFB180" s="40">
        <v>0.7</v>
      </c>
    </row>
    <row r="181" spans="16381:16382" x14ac:dyDescent="0.25">
      <c r="XFA181" s="40">
        <v>167</v>
      </c>
      <c r="XFB181" s="40">
        <v>0.7</v>
      </c>
    </row>
    <row r="182" spans="16381:16382" x14ac:dyDescent="0.25">
      <c r="XFA182" s="40">
        <v>168</v>
      </c>
      <c r="XFB182" s="40">
        <v>0.7</v>
      </c>
    </row>
    <row r="183" spans="16381:16382" x14ac:dyDescent="0.25">
      <c r="XFA183" s="40">
        <v>169</v>
      </c>
      <c r="XFB183" s="40">
        <v>0.7</v>
      </c>
    </row>
    <row r="184" spans="16381:16382" x14ac:dyDescent="0.25">
      <c r="XFA184" s="40">
        <v>170</v>
      </c>
      <c r="XFB184" s="40">
        <v>0.7</v>
      </c>
    </row>
    <row r="185" spans="16381:16382" x14ac:dyDescent="0.25">
      <c r="XFA185" s="40">
        <v>171</v>
      </c>
      <c r="XFB185" s="40">
        <v>0.7</v>
      </c>
    </row>
    <row r="186" spans="16381:16382" x14ac:dyDescent="0.25">
      <c r="XFA186" s="40">
        <v>172</v>
      </c>
      <c r="XFB186" s="40">
        <v>0.7</v>
      </c>
    </row>
    <row r="187" spans="16381:16382" x14ac:dyDescent="0.25">
      <c r="XFA187" s="40">
        <v>173</v>
      </c>
      <c r="XFB187" s="40">
        <v>0.7</v>
      </c>
    </row>
    <row r="188" spans="16381:16382" x14ac:dyDescent="0.25">
      <c r="XFA188" s="40">
        <v>174</v>
      </c>
      <c r="XFB188" s="40">
        <v>0.7</v>
      </c>
    </row>
    <row r="189" spans="16381:16382" x14ac:dyDescent="0.25">
      <c r="XFA189" s="40">
        <v>175</v>
      </c>
      <c r="XFB189" s="40">
        <v>0.7</v>
      </c>
    </row>
    <row r="190" spans="16381:16382" x14ac:dyDescent="0.25">
      <c r="XFA190" s="40">
        <v>176</v>
      </c>
      <c r="XFB190" s="40">
        <v>0.7</v>
      </c>
    </row>
    <row r="191" spans="16381:16382" x14ac:dyDescent="0.25">
      <c r="XFA191" s="40">
        <v>177</v>
      </c>
      <c r="XFB191" s="40">
        <v>0.7</v>
      </c>
    </row>
    <row r="192" spans="16381:16382" x14ac:dyDescent="0.25">
      <c r="XFA192" s="40">
        <v>178</v>
      </c>
      <c r="XFB192" s="40">
        <v>0.7</v>
      </c>
    </row>
    <row r="193" spans="16381:16382" x14ac:dyDescent="0.25">
      <c r="XFA193" s="40">
        <v>179</v>
      </c>
      <c r="XFB193" s="40">
        <v>0.7</v>
      </c>
    </row>
    <row r="194" spans="16381:16382" x14ac:dyDescent="0.25">
      <c r="XFA194" s="40">
        <v>180</v>
      </c>
      <c r="XFB194" s="40">
        <v>0.7</v>
      </c>
    </row>
    <row r="195" spans="16381:16382" x14ac:dyDescent="0.25">
      <c r="XFA195" s="40">
        <v>181</v>
      </c>
      <c r="XFB195" s="40">
        <v>0.7</v>
      </c>
    </row>
    <row r="196" spans="16381:16382" x14ac:dyDescent="0.25">
      <c r="XFA196" s="40">
        <v>182</v>
      </c>
      <c r="XFB196" s="40">
        <v>0.7</v>
      </c>
    </row>
    <row r="197" spans="16381:16382" x14ac:dyDescent="0.25">
      <c r="XFA197" s="40">
        <v>183</v>
      </c>
      <c r="XFB197" s="40">
        <v>0.7</v>
      </c>
    </row>
    <row r="198" spans="16381:16382" x14ac:dyDescent="0.25">
      <c r="XFA198" s="40">
        <v>184</v>
      </c>
      <c r="XFB198" s="40">
        <v>0.7</v>
      </c>
    </row>
    <row r="199" spans="16381:16382" x14ac:dyDescent="0.25">
      <c r="XFA199" s="40">
        <v>185</v>
      </c>
      <c r="XFB199" s="40">
        <v>0.7</v>
      </c>
    </row>
    <row r="200" spans="16381:16382" x14ac:dyDescent="0.25">
      <c r="XFA200" s="40">
        <v>186</v>
      </c>
      <c r="XFB200" s="40">
        <v>0.7</v>
      </c>
    </row>
    <row r="201" spans="16381:16382" x14ac:dyDescent="0.25">
      <c r="XFA201" s="40">
        <v>187</v>
      </c>
      <c r="XFB201" s="40">
        <v>0.7</v>
      </c>
    </row>
    <row r="202" spans="16381:16382" x14ac:dyDescent="0.25">
      <c r="XFA202" s="40">
        <v>188</v>
      </c>
      <c r="XFB202" s="40">
        <v>0.7</v>
      </c>
    </row>
    <row r="203" spans="16381:16382" x14ac:dyDescent="0.25">
      <c r="XFA203" s="40">
        <v>189</v>
      </c>
      <c r="XFB203" s="40">
        <v>0.7</v>
      </c>
    </row>
    <row r="204" spans="16381:16382" x14ac:dyDescent="0.25">
      <c r="XFA204" s="40">
        <v>190</v>
      </c>
      <c r="XFB204" s="40">
        <v>0.7</v>
      </c>
    </row>
    <row r="205" spans="16381:16382" x14ac:dyDescent="0.25">
      <c r="XFA205" s="40">
        <v>191</v>
      </c>
      <c r="XFB205" s="40">
        <v>0.7</v>
      </c>
    </row>
    <row r="206" spans="16381:16382" x14ac:dyDescent="0.25">
      <c r="XFA206" s="40">
        <v>192</v>
      </c>
      <c r="XFB206" s="40">
        <v>0.7</v>
      </c>
    </row>
    <row r="207" spans="16381:16382" x14ac:dyDescent="0.25">
      <c r="XFA207" s="40">
        <v>193</v>
      </c>
      <c r="XFB207" s="40">
        <v>0.7</v>
      </c>
    </row>
    <row r="208" spans="16381:16382" x14ac:dyDescent="0.25">
      <c r="XFA208" s="40">
        <v>194</v>
      </c>
      <c r="XFB208" s="40">
        <v>0.7</v>
      </c>
    </row>
    <row r="209" spans="16381:16382" x14ac:dyDescent="0.25">
      <c r="XFA209" s="40">
        <v>195</v>
      </c>
      <c r="XFB209" s="40">
        <v>0.7</v>
      </c>
    </row>
    <row r="210" spans="16381:16382" x14ac:dyDescent="0.25">
      <c r="XFA210" s="40">
        <v>196</v>
      </c>
      <c r="XFB210" s="40">
        <v>0.7</v>
      </c>
    </row>
    <row r="211" spans="16381:16382" x14ac:dyDescent="0.25">
      <c r="XFA211" s="40">
        <v>197</v>
      </c>
      <c r="XFB211" s="40">
        <v>0.7</v>
      </c>
    </row>
    <row r="212" spans="16381:16382" x14ac:dyDescent="0.25">
      <c r="XFA212" s="40">
        <v>198</v>
      </c>
      <c r="XFB212" s="40">
        <v>0.7</v>
      </c>
    </row>
    <row r="213" spans="16381:16382" x14ac:dyDescent="0.25">
      <c r="XFA213" s="40">
        <v>199</v>
      </c>
      <c r="XFB213" s="40">
        <v>0.7</v>
      </c>
    </row>
    <row r="214" spans="16381:16382" x14ac:dyDescent="0.25">
      <c r="XFA214" s="40">
        <v>200</v>
      </c>
      <c r="XFB214" s="40">
        <v>0.7</v>
      </c>
    </row>
    <row r="215" spans="16381:16382" x14ac:dyDescent="0.25">
      <c r="XFA215" s="40">
        <v>201</v>
      </c>
      <c r="XFB215" s="40">
        <v>0.7</v>
      </c>
    </row>
    <row r="216" spans="16381:16382" x14ac:dyDescent="0.25">
      <c r="XFA216" s="40">
        <v>202</v>
      </c>
      <c r="XFB216" s="40">
        <v>0.7</v>
      </c>
    </row>
    <row r="217" spans="16381:16382" x14ac:dyDescent="0.25">
      <c r="XFA217" s="40">
        <v>203</v>
      </c>
      <c r="XFB217" s="40">
        <v>0.7</v>
      </c>
    </row>
    <row r="218" spans="16381:16382" x14ac:dyDescent="0.25">
      <c r="XFA218" s="40">
        <v>204</v>
      </c>
      <c r="XFB218" s="40">
        <v>0.7</v>
      </c>
    </row>
    <row r="219" spans="16381:16382" x14ac:dyDescent="0.25">
      <c r="XFA219" s="40">
        <v>205</v>
      </c>
      <c r="XFB219" s="40">
        <v>0.7</v>
      </c>
    </row>
    <row r="220" spans="16381:16382" x14ac:dyDescent="0.25">
      <c r="XFA220" s="40">
        <v>206</v>
      </c>
      <c r="XFB220" s="40">
        <v>0.7</v>
      </c>
    </row>
    <row r="221" spans="16381:16382" x14ac:dyDescent="0.25">
      <c r="XFA221" s="40">
        <v>207</v>
      </c>
      <c r="XFB221" s="40">
        <v>0.7</v>
      </c>
    </row>
    <row r="222" spans="16381:16382" x14ac:dyDescent="0.25">
      <c r="XFA222" s="40">
        <v>208</v>
      </c>
      <c r="XFB222" s="40">
        <v>0.7</v>
      </c>
    </row>
    <row r="223" spans="16381:16382" x14ac:dyDescent="0.25">
      <c r="XFA223" s="40">
        <v>209</v>
      </c>
      <c r="XFB223" s="40">
        <v>0.7</v>
      </c>
    </row>
    <row r="224" spans="16381:16382" x14ac:dyDescent="0.25">
      <c r="XFA224" s="40">
        <v>210</v>
      </c>
      <c r="XFB224" s="40">
        <v>0.7</v>
      </c>
    </row>
    <row r="225" spans="16381:16382" x14ac:dyDescent="0.25">
      <c r="XFA225" s="40">
        <v>211</v>
      </c>
      <c r="XFB225" s="40">
        <v>0.7</v>
      </c>
    </row>
    <row r="226" spans="16381:16382" x14ac:dyDescent="0.25">
      <c r="XFA226" s="40">
        <v>212</v>
      </c>
      <c r="XFB226" s="40">
        <v>0.7</v>
      </c>
    </row>
    <row r="227" spans="16381:16382" x14ac:dyDescent="0.25">
      <c r="XFA227" s="40">
        <v>213</v>
      </c>
      <c r="XFB227" s="40">
        <v>0.7</v>
      </c>
    </row>
    <row r="228" spans="16381:16382" x14ac:dyDescent="0.25">
      <c r="XFA228" s="40">
        <v>214</v>
      </c>
      <c r="XFB228" s="40">
        <v>0.7</v>
      </c>
    </row>
    <row r="229" spans="16381:16382" x14ac:dyDescent="0.25">
      <c r="XFA229" s="40">
        <v>215</v>
      </c>
      <c r="XFB229" s="40">
        <v>0.7</v>
      </c>
    </row>
    <row r="230" spans="16381:16382" x14ac:dyDescent="0.25">
      <c r="XFA230" s="40">
        <v>216</v>
      </c>
      <c r="XFB230" s="40">
        <v>0.7</v>
      </c>
    </row>
    <row r="231" spans="16381:16382" x14ac:dyDescent="0.25">
      <c r="XFA231" s="40">
        <v>217</v>
      </c>
      <c r="XFB231" s="40">
        <v>0.7</v>
      </c>
    </row>
    <row r="232" spans="16381:16382" x14ac:dyDescent="0.25">
      <c r="XFA232" s="40">
        <v>218</v>
      </c>
      <c r="XFB232" s="40">
        <v>0.7</v>
      </c>
    </row>
    <row r="233" spans="16381:16382" x14ac:dyDescent="0.25">
      <c r="XFA233" s="40">
        <v>219</v>
      </c>
      <c r="XFB233" s="40">
        <v>0.7</v>
      </c>
    </row>
    <row r="234" spans="16381:16382" x14ac:dyDescent="0.25">
      <c r="XFA234" s="40">
        <v>220</v>
      </c>
      <c r="XFB234" s="40">
        <v>0.7</v>
      </c>
    </row>
    <row r="235" spans="16381:16382" x14ac:dyDescent="0.25">
      <c r="XFA235" s="40">
        <v>221</v>
      </c>
      <c r="XFB235" s="40">
        <v>0.7</v>
      </c>
    </row>
    <row r="236" spans="16381:16382" x14ac:dyDescent="0.25">
      <c r="XFA236" s="40">
        <v>222</v>
      </c>
      <c r="XFB236" s="40">
        <v>0.7</v>
      </c>
    </row>
    <row r="237" spans="16381:16382" x14ac:dyDescent="0.25">
      <c r="XFA237" s="40">
        <v>223</v>
      </c>
      <c r="XFB237" s="40">
        <v>0.7</v>
      </c>
    </row>
    <row r="238" spans="16381:16382" x14ac:dyDescent="0.25">
      <c r="XFA238" s="40">
        <v>224</v>
      </c>
      <c r="XFB238" s="40">
        <v>0.7</v>
      </c>
    </row>
    <row r="239" spans="16381:16382" x14ac:dyDescent="0.25">
      <c r="XFA239" s="40">
        <v>225</v>
      </c>
      <c r="XFB239" s="40">
        <v>0.7</v>
      </c>
    </row>
    <row r="240" spans="16381:16382" x14ac:dyDescent="0.25">
      <c r="XFA240" s="40">
        <v>226</v>
      </c>
      <c r="XFB240" s="40">
        <v>0.7</v>
      </c>
    </row>
    <row r="241" spans="16381:16382" x14ac:dyDescent="0.25">
      <c r="XFA241" s="40">
        <v>227</v>
      </c>
      <c r="XFB241" s="40">
        <v>0.7</v>
      </c>
    </row>
    <row r="242" spans="16381:16382" x14ac:dyDescent="0.25">
      <c r="XFA242" s="40">
        <v>228</v>
      </c>
      <c r="XFB242" s="40">
        <v>0.7</v>
      </c>
    </row>
    <row r="243" spans="16381:16382" x14ac:dyDescent="0.25">
      <c r="XFA243" s="40">
        <v>229</v>
      </c>
      <c r="XFB243" s="40">
        <v>0.7</v>
      </c>
    </row>
    <row r="244" spans="16381:16382" x14ac:dyDescent="0.25">
      <c r="XFA244" s="40">
        <v>230</v>
      </c>
      <c r="XFB244" s="40">
        <v>0.7</v>
      </c>
    </row>
    <row r="245" spans="16381:16382" x14ac:dyDescent="0.25">
      <c r="XFA245" s="40">
        <v>231</v>
      </c>
      <c r="XFB245" s="40">
        <v>0.7</v>
      </c>
    </row>
    <row r="246" spans="16381:16382" x14ac:dyDescent="0.25">
      <c r="XFA246" s="40">
        <v>232</v>
      </c>
      <c r="XFB246" s="40">
        <v>0.7</v>
      </c>
    </row>
    <row r="247" spans="16381:16382" x14ac:dyDescent="0.25">
      <c r="XFA247" s="40">
        <v>233</v>
      </c>
      <c r="XFB247" s="40">
        <v>0.7</v>
      </c>
    </row>
    <row r="248" spans="16381:16382" x14ac:dyDescent="0.25">
      <c r="XFA248" s="40">
        <v>234</v>
      </c>
      <c r="XFB248" s="40">
        <v>0.7</v>
      </c>
    </row>
    <row r="249" spans="16381:16382" x14ac:dyDescent="0.25">
      <c r="XFA249" s="40">
        <v>235</v>
      </c>
      <c r="XFB249" s="40">
        <v>0.7</v>
      </c>
    </row>
    <row r="250" spans="16381:16382" x14ac:dyDescent="0.25">
      <c r="XFA250" s="40">
        <v>236</v>
      </c>
      <c r="XFB250" s="40">
        <v>0.7</v>
      </c>
    </row>
    <row r="251" spans="16381:16382" x14ac:dyDescent="0.25">
      <c r="XFA251" s="40">
        <v>237</v>
      </c>
      <c r="XFB251" s="40">
        <v>0.7</v>
      </c>
    </row>
    <row r="252" spans="16381:16382" x14ac:dyDescent="0.25">
      <c r="XFA252" s="40">
        <v>238</v>
      </c>
      <c r="XFB252" s="40">
        <v>0.7</v>
      </c>
    </row>
    <row r="253" spans="16381:16382" x14ac:dyDescent="0.25">
      <c r="XFA253" s="40">
        <v>239</v>
      </c>
      <c r="XFB253" s="40">
        <v>0.7</v>
      </c>
    </row>
    <row r="254" spans="16381:16382" x14ac:dyDescent="0.25">
      <c r="XFA254" s="40">
        <v>240</v>
      </c>
      <c r="XFB254" s="40">
        <v>0.7</v>
      </c>
    </row>
    <row r="255" spans="16381:16382" x14ac:dyDescent="0.25">
      <c r="XFA255" s="40">
        <v>241</v>
      </c>
      <c r="XFB255" s="40">
        <v>0.7</v>
      </c>
    </row>
    <row r="256" spans="16381:16382" x14ac:dyDescent="0.25">
      <c r="XFA256" s="40">
        <v>242</v>
      </c>
      <c r="XFB256" s="40">
        <v>0.7</v>
      </c>
    </row>
    <row r="257" spans="16381:16382" x14ac:dyDescent="0.25">
      <c r="XFA257" s="40">
        <v>243</v>
      </c>
      <c r="XFB257" s="40">
        <v>0.7</v>
      </c>
    </row>
    <row r="258" spans="16381:16382" x14ac:dyDescent="0.25">
      <c r="XFA258" s="40">
        <v>244</v>
      </c>
      <c r="XFB258" s="40">
        <v>0.7</v>
      </c>
    </row>
    <row r="259" spans="16381:16382" x14ac:dyDescent="0.25">
      <c r="XFA259" s="40">
        <v>245</v>
      </c>
      <c r="XFB259" s="40">
        <v>0.7</v>
      </c>
    </row>
    <row r="260" spans="16381:16382" x14ac:dyDescent="0.25">
      <c r="XFA260" s="40">
        <v>246</v>
      </c>
      <c r="XFB260" s="40">
        <v>0.7</v>
      </c>
    </row>
    <row r="261" spans="16381:16382" x14ac:dyDescent="0.25">
      <c r="XFA261" s="40">
        <v>247</v>
      </c>
      <c r="XFB261" s="40">
        <v>0.7</v>
      </c>
    </row>
    <row r="262" spans="16381:16382" x14ac:dyDescent="0.25">
      <c r="XFA262" s="40">
        <v>248</v>
      </c>
      <c r="XFB262" s="40">
        <v>0.7</v>
      </c>
    </row>
    <row r="263" spans="16381:16382" x14ac:dyDescent="0.25">
      <c r="XFA263" s="40">
        <v>249</v>
      </c>
      <c r="XFB263" s="40">
        <v>0.7</v>
      </c>
    </row>
    <row r="264" spans="16381:16382" x14ac:dyDescent="0.25">
      <c r="XFA264" s="40">
        <v>250</v>
      </c>
      <c r="XFB264" s="40">
        <v>0.7</v>
      </c>
    </row>
    <row r="265" spans="16381:16382" x14ac:dyDescent="0.25">
      <c r="XFA265" s="40">
        <v>251</v>
      </c>
      <c r="XFB265" s="40">
        <v>0.7</v>
      </c>
    </row>
    <row r="266" spans="16381:16382" x14ac:dyDescent="0.25">
      <c r="XFA266" s="40">
        <v>252</v>
      </c>
      <c r="XFB266" s="40">
        <v>0.7</v>
      </c>
    </row>
    <row r="267" spans="16381:16382" x14ac:dyDescent="0.25">
      <c r="XFA267" s="40">
        <v>253</v>
      </c>
      <c r="XFB267" s="40">
        <v>0.7</v>
      </c>
    </row>
    <row r="268" spans="16381:16382" x14ac:dyDescent="0.25">
      <c r="XFA268" s="40">
        <v>254</v>
      </c>
      <c r="XFB268" s="40">
        <v>0.7</v>
      </c>
    </row>
    <row r="269" spans="16381:16382" x14ac:dyDescent="0.25">
      <c r="XFA269" s="40">
        <v>255</v>
      </c>
      <c r="XFB269" s="40">
        <v>0.7</v>
      </c>
    </row>
    <row r="270" spans="16381:16382" x14ac:dyDescent="0.25">
      <c r="XFA270" s="40">
        <v>256</v>
      </c>
      <c r="XFB270" s="40">
        <v>0.7</v>
      </c>
    </row>
    <row r="271" spans="16381:16382" x14ac:dyDescent="0.25">
      <c r="XFA271" s="40">
        <v>257</v>
      </c>
      <c r="XFB271" s="40">
        <v>0.7</v>
      </c>
    </row>
    <row r="272" spans="16381:16382" x14ac:dyDescent="0.25">
      <c r="XFA272" s="40">
        <v>258</v>
      </c>
      <c r="XFB272" s="40">
        <v>0.7</v>
      </c>
    </row>
    <row r="273" spans="16381:16382" x14ac:dyDescent="0.25">
      <c r="XFA273" s="40">
        <v>259</v>
      </c>
      <c r="XFB273" s="40">
        <v>0.7</v>
      </c>
    </row>
    <row r="274" spans="16381:16382" x14ac:dyDescent="0.25">
      <c r="XFA274" s="40">
        <v>260</v>
      </c>
      <c r="XFB274" s="40">
        <v>0.7</v>
      </c>
    </row>
    <row r="275" spans="16381:16382" x14ac:dyDescent="0.25">
      <c r="XFA275" s="40">
        <v>261</v>
      </c>
      <c r="XFB275" s="40">
        <v>0.7</v>
      </c>
    </row>
    <row r="276" spans="16381:16382" x14ac:dyDescent="0.25">
      <c r="XFA276" s="40">
        <v>262</v>
      </c>
      <c r="XFB276" s="40">
        <v>0.7</v>
      </c>
    </row>
    <row r="277" spans="16381:16382" x14ac:dyDescent="0.25">
      <c r="XFA277" s="40">
        <v>263</v>
      </c>
      <c r="XFB277" s="40">
        <v>0.7</v>
      </c>
    </row>
    <row r="278" spans="16381:16382" x14ac:dyDescent="0.25">
      <c r="XFA278" s="40">
        <v>264</v>
      </c>
      <c r="XFB278" s="40">
        <v>0.7</v>
      </c>
    </row>
    <row r="279" spans="16381:16382" x14ac:dyDescent="0.25">
      <c r="XFA279" s="40">
        <v>265</v>
      </c>
      <c r="XFB279" s="40">
        <v>0.7</v>
      </c>
    </row>
    <row r="280" spans="16381:16382" x14ac:dyDescent="0.25">
      <c r="XFA280" s="40">
        <v>266</v>
      </c>
      <c r="XFB280" s="40">
        <v>0.7</v>
      </c>
    </row>
    <row r="281" spans="16381:16382" x14ac:dyDescent="0.25">
      <c r="XFA281" s="40">
        <v>267</v>
      </c>
      <c r="XFB281" s="40">
        <v>0.7</v>
      </c>
    </row>
    <row r="282" spans="16381:16382" x14ac:dyDescent="0.25">
      <c r="XFA282" s="40">
        <v>268</v>
      </c>
      <c r="XFB282" s="40">
        <v>0.7</v>
      </c>
    </row>
    <row r="283" spans="16381:16382" x14ac:dyDescent="0.25">
      <c r="XFA283" s="40">
        <v>269</v>
      </c>
      <c r="XFB283" s="40">
        <v>0.7</v>
      </c>
    </row>
    <row r="284" spans="16381:16382" x14ac:dyDescent="0.25">
      <c r="XFA284" s="40">
        <v>270</v>
      </c>
      <c r="XFB284" s="40">
        <v>0.7</v>
      </c>
    </row>
    <row r="285" spans="16381:16382" x14ac:dyDescent="0.25">
      <c r="XFA285" s="40">
        <v>271</v>
      </c>
      <c r="XFB285" s="40">
        <v>0.7</v>
      </c>
    </row>
    <row r="286" spans="16381:16382" x14ac:dyDescent="0.25">
      <c r="XFA286" s="40">
        <v>272</v>
      </c>
      <c r="XFB286" s="40">
        <v>0.7</v>
      </c>
    </row>
    <row r="287" spans="16381:16382" x14ac:dyDescent="0.25">
      <c r="XFA287" s="40">
        <v>273</v>
      </c>
      <c r="XFB287" s="40">
        <v>0.7</v>
      </c>
    </row>
    <row r="288" spans="16381:16382" x14ac:dyDescent="0.25">
      <c r="XFA288" s="40">
        <v>274</v>
      </c>
      <c r="XFB288" s="40">
        <v>0.7</v>
      </c>
    </row>
    <row r="289" spans="16381:16382" x14ac:dyDescent="0.25">
      <c r="XFA289" s="40">
        <v>275</v>
      </c>
      <c r="XFB289" s="40">
        <v>0.7</v>
      </c>
    </row>
    <row r="290" spans="16381:16382" x14ac:dyDescent="0.25">
      <c r="XFA290" s="40">
        <v>276</v>
      </c>
      <c r="XFB290" s="40">
        <v>0.7</v>
      </c>
    </row>
    <row r="291" spans="16381:16382" x14ac:dyDescent="0.25">
      <c r="XFA291" s="40">
        <v>277</v>
      </c>
      <c r="XFB291" s="40">
        <v>0.7</v>
      </c>
    </row>
    <row r="292" spans="16381:16382" x14ac:dyDescent="0.25">
      <c r="XFA292" s="40">
        <v>278</v>
      </c>
      <c r="XFB292" s="40">
        <v>0.7</v>
      </c>
    </row>
    <row r="293" spans="16381:16382" x14ac:dyDescent="0.25">
      <c r="XFA293" s="40">
        <v>279</v>
      </c>
      <c r="XFB293" s="40">
        <v>0.7</v>
      </c>
    </row>
    <row r="294" spans="16381:16382" x14ac:dyDescent="0.25">
      <c r="XFA294" s="40">
        <v>280</v>
      </c>
      <c r="XFB294" s="40">
        <v>0.7</v>
      </c>
    </row>
    <row r="295" spans="16381:16382" x14ac:dyDescent="0.25">
      <c r="XFA295" s="40">
        <v>281</v>
      </c>
      <c r="XFB295" s="40">
        <v>0.7</v>
      </c>
    </row>
    <row r="296" spans="16381:16382" x14ac:dyDescent="0.25">
      <c r="XFA296" s="40">
        <v>282</v>
      </c>
      <c r="XFB296" s="40">
        <v>0.7</v>
      </c>
    </row>
    <row r="297" spans="16381:16382" x14ac:dyDescent="0.25">
      <c r="XFA297" s="40">
        <v>283</v>
      </c>
      <c r="XFB297" s="40">
        <v>0.7</v>
      </c>
    </row>
    <row r="298" spans="16381:16382" x14ac:dyDescent="0.25">
      <c r="XFA298" s="40">
        <v>284</v>
      </c>
      <c r="XFB298" s="40">
        <v>0.7</v>
      </c>
    </row>
    <row r="299" spans="16381:16382" x14ac:dyDescent="0.25">
      <c r="XFA299" s="40">
        <v>285</v>
      </c>
      <c r="XFB299" s="40">
        <v>0.7</v>
      </c>
    </row>
    <row r="300" spans="16381:16382" x14ac:dyDescent="0.25">
      <c r="XFA300" s="40">
        <v>286</v>
      </c>
      <c r="XFB300" s="40">
        <v>0.7</v>
      </c>
    </row>
    <row r="301" spans="16381:16382" x14ac:dyDescent="0.25">
      <c r="XFA301" s="40">
        <v>287</v>
      </c>
      <c r="XFB301" s="40">
        <v>0.7</v>
      </c>
    </row>
    <row r="302" spans="16381:16382" x14ac:dyDescent="0.25">
      <c r="XFA302" s="40">
        <v>288</v>
      </c>
      <c r="XFB302" s="40">
        <v>0.7</v>
      </c>
    </row>
    <row r="303" spans="16381:16382" x14ac:dyDescent="0.25">
      <c r="XFA303" s="40">
        <v>289</v>
      </c>
      <c r="XFB303" s="40">
        <v>0.7</v>
      </c>
    </row>
    <row r="304" spans="16381:16382" x14ac:dyDescent="0.25">
      <c r="XFA304" s="40">
        <v>290</v>
      </c>
      <c r="XFB304" s="40">
        <v>0.7</v>
      </c>
    </row>
    <row r="305" spans="16381:16382" x14ac:dyDescent="0.25">
      <c r="XFA305" s="40">
        <v>291</v>
      </c>
      <c r="XFB305" s="40">
        <v>0.7</v>
      </c>
    </row>
    <row r="306" spans="16381:16382" x14ac:dyDescent="0.25">
      <c r="XFA306" s="40">
        <v>292</v>
      </c>
      <c r="XFB306" s="40">
        <v>0.7</v>
      </c>
    </row>
    <row r="307" spans="16381:16382" x14ac:dyDescent="0.25">
      <c r="XFA307" s="40">
        <v>293</v>
      </c>
      <c r="XFB307" s="40">
        <v>0.7</v>
      </c>
    </row>
    <row r="308" spans="16381:16382" x14ac:dyDescent="0.25">
      <c r="XFA308" s="40">
        <v>294</v>
      </c>
      <c r="XFB308" s="40">
        <v>0.7</v>
      </c>
    </row>
    <row r="309" spans="16381:16382" x14ac:dyDescent="0.25">
      <c r="XFA309" s="40">
        <v>295</v>
      </c>
      <c r="XFB309" s="40">
        <v>0.7</v>
      </c>
    </row>
    <row r="310" spans="16381:16382" x14ac:dyDescent="0.25">
      <c r="XFA310" s="40">
        <v>296</v>
      </c>
      <c r="XFB310" s="40">
        <v>0.7</v>
      </c>
    </row>
    <row r="311" spans="16381:16382" x14ac:dyDescent="0.25">
      <c r="XFA311" s="40">
        <v>297</v>
      </c>
      <c r="XFB311" s="40">
        <v>0.7</v>
      </c>
    </row>
    <row r="312" spans="16381:16382" x14ac:dyDescent="0.25">
      <c r="XFA312" s="40">
        <v>298</v>
      </c>
      <c r="XFB312" s="40">
        <v>0.7</v>
      </c>
    </row>
    <row r="313" spans="16381:16382" x14ac:dyDescent="0.25">
      <c r="XFA313" s="40">
        <v>299</v>
      </c>
      <c r="XFB313" s="40">
        <v>0.7</v>
      </c>
    </row>
    <row r="314" spans="16381:16382" x14ac:dyDescent="0.25">
      <c r="XFA314" s="40">
        <v>300</v>
      </c>
      <c r="XFB314" s="40">
        <v>0.7</v>
      </c>
    </row>
    <row r="315" spans="16381:16382" x14ac:dyDescent="0.25">
      <c r="XFA315" s="40">
        <v>301</v>
      </c>
      <c r="XFB315" s="40">
        <v>0.7</v>
      </c>
    </row>
    <row r="316" spans="16381:16382" x14ac:dyDescent="0.25">
      <c r="XFA316" s="40">
        <v>302</v>
      </c>
      <c r="XFB316" s="40">
        <v>0.7</v>
      </c>
    </row>
    <row r="317" spans="16381:16382" x14ac:dyDescent="0.25">
      <c r="XFA317" s="40">
        <v>303</v>
      </c>
      <c r="XFB317" s="40">
        <v>0.7</v>
      </c>
    </row>
    <row r="318" spans="16381:16382" x14ac:dyDescent="0.25">
      <c r="XFA318" s="40">
        <v>304</v>
      </c>
      <c r="XFB318" s="40">
        <v>0.7</v>
      </c>
    </row>
    <row r="319" spans="16381:16382" x14ac:dyDescent="0.25">
      <c r="XFA319" s="40">
        <v>305</v>
      </c>
      <c r="XFB319" s="40">
        <v>0.7</v>
      </c>
    </row>
    <row r="320" spans="16381:16382" x14ac:dyDescent="0.25">
      <c r="XFA320" s="40">
        <v>306</v>
      </c>
      <c r="XFB320" s="40">
        <v>0.7</v>
      </c>
    </row>
    <row r="321" spans="16381:16382" x14ac:dyDescent="0.25">
      <c r="XFA321" s="40">
        <v>307</v>
      </c>
      <c r="XFB321" s="40">
        <v>0.7</v>
      </c>
    </row>
    <row r="322" spans="16381:16382" x14ac:dyDescent="0.25">
      <c r="XFA322" s="40">
        <v>308</v>
      </c>
      <c r="XFB322" s="40">
        <v>0.7</v>
      </c>
    </row>
    <row r="323" spans="16381:16382" x14ac:dyDescent="0.25">
      <c r="XFA323" s="40">
        <v>309</v>
      </c>
      <c r="XFB323" s="40">
        <v>0.7</v>
      </c>
    </row>
    <row r="324" spans="16381:16382" x14ac:dyDescent="0.25">
      <c r="XFA324" s="40">
        <v>310</v>
      </c>
      <c r="XFB324" s="40">
        <v>0.7</v>
      </c>
    </row>
    <row r="325" spans="16381:16382" x14ac:dyDescent="0.25">
      <c r="XFA325" s="40">
        <v>311</v>
      </c>
      <c r="XFB325" s="40">
        <v>0.7</v>
      </c>
    </row>
    <row r="326" spans="16381:16382" x14ac:dyDescent="0.25">
      <c r="XFA326" s="40">
        <v>312</v>
      </c>
      <c r="XFB326" s="40">
        <v>0.7</v>
      </c>
    </row>
    <row r="327" spans="16381:16382" x14ac:dyDescent="0.25">
      <c r="XFA327" s="40">
        <v>313</v>
      </c>
      <c r="XFB327" s="40">
        <v>0.7</v>
      </c>
    </row>
    <row r="328" spans="16381:16382" x14ac:dyDescent="0.25">
      <c r="XFA328" s="40">
        <v>314</v>
      </c>
      <c r="XFB328" s="40">
        <v>0.7</v>
      </c>
    </row>
    <row r="329" spans="16381:16382" x14ac:dyDescent="0.25">
      <c r="XFA329" s="40">
        <v>315</v>
      </c>
      <c r="XFB329" s="40">
        <v>0.7</v>
      </c>
    </row>
    <row r="330" spans="16381:16382" x14ac:dyDescent="0.25">
      <c r="XFA330" s="40">
        <v>316</v>
      </c>
      <c r="XFB330" s="40">
        <v>0.7</v>
      </c>
    </row>
    <row r="331" spans="16381:16382" x14ac:dyDescent="0.25">
      <c r="XFA331" s="40">
        <v>317</v>
      </c>
      <c r="XFB331" s="40">
        <v>0.7</v>
      </c>
    </row>
    <row r="332" spans="16381:16382" x14ac:dyDescent="0.25">
      <c r="XFA332" s="40">
        <v>318</v>
      </c>
      <c r="XFB332" s="40">
        <v>0.7</v>
      </c>
    </row>
    <row r="333" spans="16381:16382" x14ac:dyDescent="0.25">
      <c r="XFA333" s="40">
        <v>319</v>
      </c>
      <c r="XFB333" s="40">
        <v>0.7</v>
      </c>
    </row>
    <row r="334" spans="16381:16382" x14ac:dyDescent="0.25">
      <c r="XFA334" s="40">
        <v>320</v>
      </c>
      <c r="XFB334" s="40">
        <v>0.7</v>
      </c>
    </row>
    <row r="335" spans="16381:16382" x14ac:dyDescent="0.25">
      <c r="XFA335" s="40">
        <v>321</v>
      </c>
      <c r="XFB335" s="40">
        <v>0.7</v>
      </c>
    </row>
    <row r="336" spans="16381:16382" x14ac:dyDescent="0.25">
      <c r="XFA336" s="40">
        <v>322</v>
      </c>
      <c r="XFB336" s="40">
        <v>0.7</v>
      </c>
    </row>
    <row r="337" spans="16381:16382" x14ac:dyDescent="0.25">
      <c r="XFA337" s="40">
        <v>323</v>
      </c>
      <c r="XFB337" s="40">
        <v>0.7</v>
      </c>
    </row>
    <row r="338" spans="16381:16382" x14ac:dyDescent="0.25">
      <c r="XFA338" s="40">
        <v>324</v>
      </c>
      <c r="XFB338" s="40">
        <v>0.7</v>
      </c>
    </row>
    <row r="339" spans="16381:16382" x14ac:dyDescent="0.25">
      <c r="XFA339" s="40">
        <v>325</v>
      </c>
      <c r="XFB339" s="40">
        <v>0.7</v>
      </c>
    </row>
    <row r="340" spans="16381:16382" x14ac:dyDescent="0.25">
      <c r="XFA340" s="40">
        <v>326</v>
      </c>
      <c r="XFB340" s="40">
        <v>0.7</v>
      </c>
    </row>
    <row r="341" spans="16381:16382" x14ac:dyDescent="0.25">
      <c r="XFA341" s="40">
        <v>327</v>
      </c>
      <c r="XFB341" s="40">
        <v>0.7</v>
      </c>
    </row>
    <row r="342" spans="16381:16382" x14ac:dyDescent="0.25">
      <c r="XFA342" s="40">
        <v>328</v>
      </c>
      <c r="XFB342" s="40">
        <v>0.7</v>
      </c>
    </row>
    <row r="343" spans="16381:16382" x14ac:dyDescent="0.25">
      <c r="XFA343" s="40">
        <v>329</v>
      </c>
      <c r="XFB343" s="40">
        <v>0.7</v>
      </c>
    </row>
    <row r="344" spans="16381:16382" x14ac:dyDescent="0.25">
      <c r="XFA344" s="40">
        <v>330</v>
      </c>
      <c r="XFB344" s="40">
        <v>0.7</v>
      </c>
    </row>
    <row r="345" spans="16381:16382" x14ac:dyDescent="0.25">
      <c r="XFA345" s="40">
        <v>331</v>
      </c>
      <c r="XFB345" s="40">
        <v>0.7</v>
      </c>
    </row>
    <row r="346" spans="16381:16382" x14ac:dyDescent="0.25">
      <c r="XFA346" s="40">
        <v>332</v>
      </c>
      <c r="XFB346" s="40">
        <v>0.7</v>
      </c>
    </row>
    <row r="347" spans="16381:16382" x14ac:dyDescent="0.25">
      <c r="XFA347" s="40">
        <v>333</v>
      </c>
      <c r="XFB347" s="40">
        <v>0.7</v>
      </c>
    </row>
    <row r="348" spans="16381:16382" x14ac:dyDescent="0.25">
      <c r="XFA348" s="40">
        <v>334</v>
      </c>
      <c r="XFB348" s="40">
        <v>0.7</v>
      </c>
    </row>
    <row r="349" spans="16381:16382" x14ac:dyDescent="0.25">
      <c r="XFA349" s="40">
        <v>335</v>
      </c>
      <c r="XFB349" s="40">
        <v>0.7</v>
      </c>
    </row>
    <row r="350" spans="16381:16382" x14ac:dyDescent="0.25">
      <c r="XFA350" s="40">
        <v>336</v>
      </c>
      <c r="XFB350" s="40">
        <v>0.7</v>
      </c>
    </row>
    <row r="351" spans="16381:16382" x14ac:dyDescent="0.25">
      <c r="XFA351" s="40">
        <v>337</v>
      </c>
      <c r="XFB351" s="40">
        <v>0.7</v>
      </c>
    </row>
    <row r="352" spans="16381:16382" x14ac:dyDescent="0.25">
      <c r="XFA352" s="40">
        <v>338</v>
      </c>
      <c r="XFB352" s="40">
        <v>0.7</v>
      </c>
    </row>
    <row r="353" spans="16381:16382" x14ac:dyDescent="0.25">
      <c r="XFA353" s="40">
        <v>339</v>
      </c>
      <c r="XFB353" s="40">
        <v>0.7</v>
      </c>
    </row>
    <row r="354" spans="16381:16382" x14ac:dyDescent="0.25">
      <c r="XFA354" s="40">
        <v>340</v>
      </c>
      <c r="XFB354" s="40">
        <v>0.7</v>
      </c>
    </row>
    <row r="355" spans="16381:16382" x14ac:dyDescent="0.25">
      <c r="XFA355" s="40">
        <v>341</v>
      </c>
      <c r="XFB355" s="40">
        <v>0.7</v>
      </c>
    </row>
    <row r="356" spans="16381:16382" x14ac:dyDescent="0.25">
      <c r="XFA356" s="40">
        <v>342</v>
      </c>
      <c r="XFB356" s="40">
        <v>0.7</v>
      </c>
    </row>
    <row r="357" spans="16381:16382" x14ac:dyDescent="0.25">
      <c r="XFA357" s="40">
        <v>343</v>
      </c>
      <c r="XFB357" s="40">
        <v>0.7</v>
      </c>
    </row>
    <row r="358" spans="16381:16382" x14ac:dyDescent="0.25">
      <c r="XFA358" s="40">
        <v>344</v>
      </c>
      <c r="XFB358" s="40">
        <v>0.7</v>
      </c>
    </row>
    <row r="359" spans="16381:16382" x14ac:dyDescent="0.25">
      <c r="XFA359" s="40">
        <v>345</v>
      </c>
      <c r="XFB359" s="40">
        <v>0.7</v>
      </c>
    </row>
    <row r="360" spans="16381:16382" x14ac:dyDescent="0.25">
      <c r="XFA360" s="40">
        <v>346</v>
      </c>
      <c r="XFB360" s="40">
        <v>0.7</v>
      </c>
    </row>
    <row r="361" spans="16381:16382" x14ac:dyDescent="0.25">
      <c r="XFA361" s="40">
        <v>347</v>
      </c>
      <c r="XFB361" s="40">
        <v>0.7</v>
      </c>
    </row>
    <row r="362" spans="16381:16382" x14ac:dyDescent="0.25">
      <c r="XFA362" s="40">
        <v>348</v>
      </c>
      <c r="XFB362" s="40">
        <v>0.7</v>
      </c>
    </row>
    <row r="363" spans="16381:16382" x14ac:dyDescent="0.25">
      <c r="XFA363" s="40">
        <v>349</v>
      </c>
      <c r="XFB363" s="40">
        <v>0.7</v>
      </c>
    </row>
    <row r="364" spans="16381:16382" x14ac:dyDescent="0.25">
      <c r="XFA364" s="40">
        <v>350</v>
      </c>
      <c r="XFB364" s="40">
        <v>0.7</v>
      </c>
    </row>
    <row r="365" spans="16381:16382" x14ac:dyDescent="0.25">
      <c r="XFA365" s="40">
        <v>351</v>
      </c>
      <c r="XFB365" s="40">
        <v>0.7</v>
      </c>
    </row>
    <row r="366" spans="16381:16382" x14ac:dyDescent="0.25">
      <c r="XFA366" s="40">
        <v>352</v>
      </c>
      <c r="XFB366" s="40">
        <v>0.7</v>
      </c>
    </row>
    <row r="367" spans="16381:16382" x14ac:dyDescent="0.25">
      <c r="XFA367" s="40">
        <v>353</v>
      </c>
      <c r="XFB367" s="40">
        <v>0.7</v>
      </c>
    </row>
    <row r="368" spans="16381:16382" x14ac:dyDescent="0.25">
      <c r="XFA368" s="40">
        <v>354</v>
      </c>
      <c r="XFB368" s="40">
        <v>0.7</v>
      </c>
    </row>
    <row r="369" spans="16381:16382" x14ac:dyDescent="0.25">
      <c r="XFA369" s="40">
        <v>355</v>
      </c>
      <c r="XFB369" s="40">
        <v>0.7</v>
      </c>
    </row>
    <row r="370" spans="16381:16382" x14ac:dyDescent="0.25">
      <c r="XFA370" s="40">
        <v>356</v>
      </c>
      <c r="XFB370" s="40">
        <v>0.7</v>
      </c>
    </row>
    <row r="371" spans="16381:16382" x14ac:dyDescent="0.25">
      <c r="XFA371" s="40">
        <v>357</v>
      </c>
      <c r="XFB371" s="40">
        <v>0.7</v>
      </c>
    </row>
    <row r="372" spans="16381:16382" x14ac:dyDescent="0.25">
      <c r="XFA372" s="40">
        <v>358</v>
      </c>
      <c r="XFB372" s="40">
        <v>0.7</v>
      </c>
    </row>
    <row r="373" spans="16381:16382" x14ac:dyDescent="0.25">
      <c r="XFA373" s="40">
        <v>359</v>
      </c>
      <c r="XFB373" s="40">
        <v>0.7</v>
      </c>
    </row>
    <row r="374" spans="16381:16382" x14ac:dyDescent="0.25">
      <c r="XFA374" s="40">
        <v>360</v>
      </c>
      <c r="XFB374" s="40">
        <v>0.7</v>
      </c>
    </row>
    <row r="375" spans="16381:16382" x14ac:dyDescent="0.25">
      <c r="XFA375" s="40">
        <v>361</v>
      </c>
      <c r="XFB375" s="40">
        <v>0.7</v>
      </c>
    </row>
    <row r="376" spans="16381:16382" x14ac:dyDescent="0.25">
      <c r="XFA376" s="40">
        <v>362</v>
      </c>
      <c r="XFB376" s="40">
        <v>0.7</v>
      </c>
    </row>
    <row r="377" spans="16381:16382" x14ac:dyDescent="0.25">
      <c r="XFA377" s="40">
        <v>363</v>
      </c>
      <c r="XFB377" s="40">
        <v>0.7</v>
      </c>
    </row>
    <row r="378" spans="16381:16382" x14ac:dyDescent="0.25">
      <c r="XFA378" s="40">
        <v>364</v>
      </c>
      <c r="XFB378" s="40">
        <v>0.7</v>
      </c>
    </row>
    <row r="379" spans="16381:16382" x14ac:dyDescent="0.25">
      <c r="XFA379" s="40">
        <v>365</v>
      </c>
      <c r="XFB379" s="40">
        <v>0.7</v>
      </c>
    </row>
    <row r="380" spans="16381:16382" x14ac:dyDescent="0.25">
      <c r="XFA380" s="40">
        <v>366</v>
      </c>
      <c r="XFB380" s="40">
        <v>0.7</v>
      </c>
    </row>
    <row r="381" spans="16381:16382" x14ac:dyDescent="0.25">
      <c r="XFA381" s="40">
        <v>367</v>
      </c>
      <c r="XFB381" s="40">
        <v>0.7</v>
      </c>
    </row>
    <row r="382" spans="16381:16382" x14ac:dyDescent="0.25">
      <c r="XFA382" s="40">
        <v>368</v>
      </c>
      <c r="XFB382" s="40">
        <v>0.7</v>
      </c>
    </row>
    <row r="383" spans="16381:16382" x14ac:dyDescent="0.25">
      <c r="XFA383" s="40">
        <v>369</v>
      </c>
      <c r="XFB383" s="40">
        <v>0.7</v>
      </c>
    </row>
    <row r="384" spans="16381:16382" x14ac:dyDescent="0.25">
      <c r="XFA384" s="40">
        <v>370</v>
      </c>
      <c r="XFB384" s="40">
        <v>0.7</v>
      </c>
    </row>
    <row r="385" spans="16381:16382" x14ac:dyDescent="0.25">
      <c r="XFA385" s="40">
        <v>371</v>
      </c>
      <c r="XFB385" s="40">
        <v>0.7</v>
      </c>
    </row>
    <row r="386" spans="16381:16382" x14ac:dyDescent="0.25">
      <c r="XFA386" s="40">
        <v>372</v>
      </c>
      <c r="XFB386" s="40">
        <v>0.7</v>
      </c>
    </row>
    <row r="387" spans="16381:16382" x14ac:dyDescent="0.25">
      <c r="XFA387" s="40">
        <v>373</v>
      </c>
      <c r="XFB387" s="40">
        <v>0.7</v>
      </c>
    </row>
    <row r="388" spans="16381:16382" x14ac:dyDescent="0.25">
      <c r="XFA388" s="40">
        <v>374</v>
      </c>
      <c r="XFB388" s="40">
        <v>0.7</v>
      </c>
    </row>
    <row r="389" spans="16381:16382" x14ac:dyDescent="0.25">
      <c r="XFA389" s="40">
        <v>375</v>
      </c>
      <c r="XFB389" s="40">
        <v>0.7</v>
      </c>
    </row>
    <row r="390" spans="16381:16382" x14ac:dyDescent="0.25">
      <c r="XFA390" s="40">
        <v>376</v>
      </c>
      <c r="XFB390" s="40">
        <v>0.7</v>
      </c>
    </row>
    <row r="391" spans="16381:16382" x14ac:dyDescent="0.25">
      <c r="XFA391" s="40">
        <v>377</v>
      </c>
      <c r="XFB391" s="40">
        <v>0.7</v>
      </c>
    </row>
    <row r="392" spans="16381:16382" x14ac:dyDescent="0.25">
      <c r="XFA392" s="40">
        <v>378</v>
      </c>
      <c r="XFB392" s="40">
        <v>0.7</v>
      </c>
    </row>
    <row r="393" spans="16381:16382" x14ac:dyDescent="0.25">
      <c r="XFA393" s="40">
        <v>379</v>
      </c>
      <c r="XFB393" s="40">
        <v>0.7</v>
      </c>
    </row>
    <row r="394" spans="16381:16382" x14ac:dyDescent="0.25">
      <c r="XFA394" s="40">
        <v>380</v>
      </c>
      <c r="XFB394" s="40">
        <v>0.7</v>
      </c>
    </row>
    <row r="395" spans="16381:16382" x14ac:dyDescent="0.25">
      <c r="XFA395" s="40">
        <v>381</v>
      </c>
      <c r="XFB395" s="40">
        <v>0.7</v>
      </c>
    </row>
    <row r="396" spans="16381:16382" x14ac:dyDescent="0.25">
      <c r="XFA396" s="40">
        <v>382</v>
      </c>
      <c r="XFB396" s="40">
        <v>0.7</v>
      </c>
    </row>
    <row r="397" spans="16381:16382" x14ac:dyDescent="0.25">
      <c r="XFA397" s="40">
        <v>383</v>
      </c>
      <c r="XFB397" s="40">
        <v>0.7</v>
      </c>
    </row>
    <row r="398" spans="16381:16382" x14ac:dyDescent="0.25">
      <c r="XFA398" s="40">
        <v>384</v>
      </c>
      <c r="XFB398" s="40">
        <v>0.7</v>
      </c>
    </row>
    <row r="399" spans="16381:16382" x14ac:dyDescent="0.25">
      <c r="XFA399" s="40">
        <v>385</v>
      </c>
      <c r="XFB399" s="40">
        <v>0.7</v>
      </c>
    </row>
    <row r="400" spans="16381:16382" x14ac:dyDescent="0.25">
      <c r="XFA400" s="40">
        <v>386</v>
      </c>
      <c r="XFB400" s="40">
        <v>0.7</v>
      </c>
    </row>
    <row r="401" spans="16381:16382" x14ac:dyDescent="0.25">
      <c r="XFA401" s="40">
        <v>387</v>
      </c>
      <c r="XFB401" s="40">
        <v>0.7</v>
      </c>
    </row>
    <row r="402" spans="16381:16382" x14ac:dyDescent="0.25">
      <c r="XFA402" s="40">
        <v>388</v>
      </c>
      <c r="XFB402" s="40">
        <v>0.7</v>
      </c>
    </row>
    <row r="403" spans="16381:16382" x14ac:dyDescent="0.25">
      <c r="XFA403" s="40">
        <v>389</v>
      </c>
      <c r="XFB403" s="40">
        <v>0.7</v>
      </c>
    </row>
    <row r="404" spans="16381:16382" x14ac:dyDescent="0.25">
      <c r="XFA404" s="40">
        <v>390</v>
      </c>
      <c r="XFB404" s="40">
        <v>0.7</v>
      </c>
    </row>
    <row r="405" spans="16381:16382" x14ac:dyDescent="0.25">
      <c r="XFA405" s="40">
        <v>391</v>
      </c>
      <c r="XFB405" s="40">
        <v>0.7</v>
      </c>
    </row>
    <row r="406" spans="16381:16382" x14ac:dyDescent="0.25">
      <c r="XFA406" s="40">
        <v>392</v>
      </c>
      <c r="XFB406" s="40">
        <v>0.7</v>
      </c>
    </row>
    <row r="407" spans="16381:16382" x14ac:dyDescent="0.25">
      <c r="XFA407" s="40">
        <v>393</v>
      </c>
      <c r="XFB407" s="40">
        <v>0.7</v>
      </c>
    </row>
    <row r="408" spans="16381:16382" x14ac:dyDescent="0.25">
      <c r="XFA408" s="40">
        <v>394</v>
      </c>
      <c r="XFB408" s="40">
        <v>0.7</v>
      </c>
    </row>
    <row r="409" spans="16381:16382" x14ac:dyDescent="0.25">
      <c r="XFA409" s="40">
        <v>395</v>
      </c>
      <c r="XFB409" s="40">
        <v>0.7</v>
      </c>
    </row>
    <row r="410" spans="16381:16382" x14ac:dyDescent="0.25">
      <c r="XFA410" s="40">
        <v>396</v>
      </c>
      <c r="XFB410" s="40">
        <v>0.7</v>
      </c>
    </row>
    <row r="411" spans="16381:16382" x14ac:dyDescent="0.25">
      <c r="XFA411" s="40">
        <v>397</v>
      </c>
      <c r="XFB411" s="40">
        <v>0.7</v>
      </c>
    </row>
    <row r="412" spans="16381:16382" x14ac:dyDescent="0.25">
      <c r="XFA412" s="40">
        <v>398</v>
      </c>
      <c r="XFB412" s="40">
        <v>0.7</v>
      </c>
    </row>
    <row r="413" spans="16381:16382" x14ac:dyDescent="0.25">
      <c r="XFA413" s="40">
        <v>399</v>
      </c>
      <c r="XFB413" s="40">
        <v>0.7</v>
      </c>
    </row>
    <row r="414" spans="16381:16382" x14ac:dyDescent="0.25">
      <c r="XFA414" s="40">
        <v>400</v>
      </c>
      <c r="XFB414" s="40">
        <v>0.7</v>
      </c>
    </row>
    <row r="415" spans="16381:16382" x14ac:dyDescent="0.25">
      <c r="XFA415" s="40">
        <v>401</v>
      </c>
      <c r="XFB415" s="40">
        <v>0.7</v>
      </c>
    </row>
    <row r="416" spans="16381:16382" x14ac:dyDescent="0.25">
      <c r="XFA416" s="40">
        <v>402</v>
      </c>
      <c r="XFB416" s="40">
        <v>0.7</v>
      </c>
    </row>
    <row r="417" spans="16381:16382" x14ac:dyDescent="0.25">
      <c r="XFA417" s="40">
        <v>403</v>
      </c>
      <c r="XFB417" s="40">
        <v>0.7</v>
      </c>
    </row>
    <row r="418" spans="16381:16382" x14ac:dyDescent="0.25">
      <c r="XFA418" s="40">
        <v>404</v>
      </c>
      <c r="XFB418" s="40">
        <v>0.7</v>
      </c>
    </row>
    <row r="419" spans="16381:16382" x14ac:dyDescent="0.25">
      <c r="XFA419" s="40">
        <v>405</v>
      </c>
      <c r="XFB419" s="40">
        <v>0.7</v>
      </c>
    </row>
    <row r="420" spans="16381:16382" x14ac:dyDescent="0.25">
      <c r="XFA420" s="40">
        <v>406</v>
      </c>
      <c r="XFB420" s="40">
        <v>0.7</v>
      </c>
    </row>
    <row r="421" spans="16381:16382" x14ac:dyDescent="0.25">
      <c r="XFA421" s="40">
        <v>407</v>
      </c>
      <c r="XFB421" s="40">
        <v>0.7</v>
      </c>
    </row>
    <row r="422" spans="16381:16382" x14ac:dyDescent="0.25">
      <c r="XFA422" s="40">
        <v>408</v>
      </c>
      <c r="XFB422" s="40">
        <v>0.7</v>
      </c>
    </row>
    <row r="423" spans="16381:16382" x14ac:dyDescent="0.25">
      <c r="XFA423" s="40">
        <v>409</v>
      </c>
      <c r="XFB423" s="40">
        <v>0.7</v>
      </c>
    </row>
    <row r="424" spans="16381:16382" x14ac:dyDescent="0.25">
      <c r="XFA424" s="40">
        <v>410</v>
      </c>
      <c r="XFB424" s="40">
        <v>0.7</v>
      </c>
    </row>
    <row r="425" spans="16381:16382" x14ac:dyDescent="0.25">
      <c r="XFA425" s="40">
        <v>411</v>
      </c>
      <c r="XFB425" s="40">
        <v>0.7</v>
      </c>
    </row>
    <row r="426" spans="16381:16382" x14ac:dyDescent="0.25">
      <c r="XFA426" s="40">
        <v>412</v>
      </c>
      <c r="XFB426" s="40">
        <v>0.7</v>
      </c>
    </row>
    <row r="427" spans="16381:16382" x14ac:dyDescent="0.25">
      <c r="XFA427" s="40">
        <v>413</v>
      </c>
      <c r="XFB427" s="40">
        <v>0.7</v>
      </c>
    </row>
    <row r="428" spans="16381:16382" x14ac:dyDescent="0.25">
      <c r="XFA428" s="40">
        <v>414</v>
      </c>
      <c r="XFB428" s="40">
        <v>0.7</v>
      </c>
    </row>
    <row r="429" spans="16381:16382" x14ac:dyDescent="0.25">
      <c r="XFA429" s="40">
        <v>415</v>
      </c>
      <c r="XFB429" s="40">
        <v>0.7</v>
      </c>
    </row>
    <row r="430" spans="16381:16382" x14ac:dyDescent="0.25">
      <c r="XFA430" s="40">
        <v>416</v>
      </c>
      <c r="XFB430" s="40">
        <v>0.7</v>
      </c>
    </row>
    <row r="431" spans="16381:16382" x14ac:dyDescent="0.25">
      <c r="XFA431" s="40">
        <v>417</v>
      </c>
      <c r="XFB431" s="40">
        <v>0.7</v>
      </c>
    </row>
    <row r="432" spans="16381:16382" x14ac:dyDescent="0.25">
      <c r="XFA432" s="40">
        <v>418</v>
      </c>
      <c r="XFB432" s="40">
        <v>0.7</v>
      </c>
    </row>
    <row r="433" spans="16381:16382" x14ac:dyDescent="0.25">
      <c r="XFA433" s="40">
        <v>419</v>
      </c>
      <c r="XFB433" s="40">
        <v>0.7</v>
      </c>
    </row>
    <row r="434" spans="16381:16382" x14ac:dyDescent="0.25">
      <c r="XFA434" s="40">
        <v>420</v>
      </c>
      <c r="XFB434" s="40">
        <v>0.7</v>
      </c>
    </row>
    <row r="435" spans="16381:16382" x14ac:dyDescent="0.25">
      <c r="XFA435" s="40">
        <v>421</v>
      </c>
      <c r="XFB435" s="40">
        <v>0.7</v>
      </c>
    </row>
    <row r="436" spans="16381:16382" x14ac:dyDescent="0.25">
      <c r="XFA436" s="40">
        <v>422</v>
      </c>
      <c r="XFB436" s="40">
        <v>0.7</v>
      </c>
    </row>
    <row r="437" spans="16381:16382" x14ac:dyDescent="0.25">
      <c r="XFA437" s="40">
        <v>423</v>
      </c>
      <c r="XFB437" s="40">
        <v>0.7</v>
      </c>
    </row>
    <row r="438" spans="16381:16382" x14ac:dyDescent="0.25">
      <c r="XFA438" s="40">
        <v>424</v>
      </c>
      <c r="XFB438" s="40">
        <v>0.7</v>
      </c>
    </row>
    <row r="439" spans="16381:16382" x14ac:dyDescent="0.25">
      <c r="XFA439" s="40">
        <v>425</v>
      </c>
      <c r="XFB439" s="40">
        <v>0.7</v>
      </c>
    </row>
    <row r="440" spans="16381:16382" x14ac:dyDescent="0.25">
      <c r="XFA440" s="40">
        <v>426</v>
      </c>
      <c r="XFB440" s="40">
        <v>0.7</v>
      </c>
    </row>
    <row r="441" spans="16381:16382" x14ac:dyDescent="0.25">
      <c r="XFA441" s="40">
        <v>427</v>
      </c>
      <c r="XFB441" s="40">
        <v>0.7</v>
      </c>
    </row>
    <row r="442" spans="16381:16382" x14ac:dyDescent="0.25">
      <c r="XFA442" s="40">
        <v>428</v>
      </c>
      <c r="XFB442" s="40">
        <v>0.7</v>
      </c>
    </row>
    <row r="443" spans="16381:16382" x14ac:dyDescent="0.25">
      <c r="XFA443" s="40">
        <v>429</v>
      </c>
      <c r="XFB443" s="40">
        <v>0.7</v>
      </c>
    </row>
    <row r="444" spans="16381:16382" x14ac:dyDescent="0.25">
      <c r="XFA444" s="40">
        <v>430</v>
      </c>
      <c r="XFB444" s="40">
        <v>0.7</v>
      </c>
    </row>
    <row r="445" spans="16381:16382" x14ac:dyDescent="0.25">
      <c r="XFA445" s="40">
        <v>431</v>
      </c>
      <c r="XFB445" s="40">
        <v>0.7</v>
      </c>
    </row>
    <row r="446" spans="16381:16382" x14ac:dyDescent="0.25">
      <c r="XFA446" s="40">
        <v>432</v>
      </c>
      <c r="XFB446" s="40">
        <v>0.7</v>
      </c>
    </row>
    <row r="447" spans="16381:16382" x14ac:dyDescent="0.25">
      <c r="XFA447" s="40">
        <v>433</v>
      </c>
      <c r="XFB447" s="40">
        <v>0.7</v>
      </c>
    </row>
    <row r="448" spans="16381:16382" x14ac:dyDescent="0.25">
      <c r="XFA448" s="40">
        <v>434</v>
      </c>
      <c r="XFB448" s="40">
        <v>0.7</v>
      </c>
    </row>
    <row r="449" spans="16381:16382" x14ac:dyDescent="0.25">
      <c r="XFA449" s="40">
        <v>435</v>
      </c>
      <c r="XFB449" s="40">
        <v>0.7</v>
      </c>
    </row>
    <row r="450" spans="16381:16382" x14ac:dyDescent="0.25">
      <c r="XFA450" s="40">
        <v>436</v>
      </c>
      <c r="XFB450" s="40">
        <v>0.7</v>
      </c>
    </row>
    <row r="451" spans="16381:16382" x14ac:dyDescent="0.25">
      <c r="XFA451" s="40">
        <v>437</v>
      </c>
      <c r="XFB451" s="40">
        <v>0.7</v>
      </c>
    </row>
    <row r="452" spans="16381:16382" x14ac:dyDescent="0.25">
      <c r="XFA452" s="40">
        <v>438</v>
      </c>
      <c r="XFB452" s="40">
        <v>0.7</v>
      </c>
    </row>
    <row r="453" spans="16381:16382" x14ac:dyDescent="0.25">
      <c r="XFA453" s="40">
        <v>439</v>
      </c>
      <c r="XFB453" s="40">
        <v>0.7</v>
      </c>
    </row>
    <row r="454" spans="16381:16382" x14ac:dyDescent="0.25">
      <c r="XFA454" s="40">
        <v>440</v>
      </c>
      <c r="XFB454" s="40">
        <v>0.7</v>
      </c>
    </row>
    <row r="455" spans="16381:16382" x14ac:dyDescent="0.25">
      <c r="XFA455" s="40">
        <v>441</v>
      </c>
      <c r="XFB455" s="40">
        <v>0.7</v>
      </c>
    </row>
    <row r="456" spans="16381:16382" x14ac:dyDescent="0.25">
      <c r="XFA456" s="40">
        <v>442</v>
      </c>
      <c r="XFB456" s="40">
        <v>0.7</v>
      </c>
    </row>
    <row r="457" spans="16381:16382" x14ac:dyDescent="0.25">
      <c r="XFA457" s="40">
        <v>443</v>
      </c>
      <c r="XFB457" s="40">
        <v>0.7</v>
      </c>
    </row>
    <row r="458" spans="16381:16382" x14ac:dyDescent="0.25">
      <c r="XFA458" s="40">
        <v>444</v>
      </c>
      <c r="XFB458" s="40">
        <v>0.7</v>
      </c>
    </row>
    <row r="459" spans="16381:16382" x14ac:dyDescent="0.25">
      <c r="XFA459" s="40">
        <v>445</v>
      </c>
      <c r="XFB459" s="40">
        <v>0.7</v>
      </c>
    </row>
    <row r="460" spans="16381:16382" x14ac:dyDescent="0.25">
      <c r="XFA460" s="40">
        <v>446</v>
      </c>
      <c r="XFB460" s="40">
        <v>0.7</v>
      </c>
    </row>
    <row r="461" spans="16381:16382" x14ac:dyDescent="0.25">
      <c r="XFA461" s="40">
        <v>447</v>
      </c>
      <c r="XFB461" s="40">
        <v>0.7</v>
      </c>
    </row>
    <row r="462" spans="16381:16382" x14ac:dyDescent="0.25">
      <c r="XFA462" s="40">
        <v>448</v>
      </c>
      <c r="XFB462" s="40">
        <v>0.7</v>
      </c>
    </row>
    <row r="463" spans="16381:16382" x14ac:dyDescent="0.25">
      <c r="XFA463" s="40">
        <v>449</v>
      </c>
      <c r="XFB463" s="40">
        <v>0.7</v>
      </c>
    </row>
    <row r="464" spans="16381:16382" x14ac:dyDescent="0.25">
      <c r="XFA464" s="40">
        <v>450</v>
      </c>
      <c r="XFB464" s="40">
        <v>0.7</v>
      </c>
    </row>
    <row r="465" spans="16381:16382" x14ac:dyDescent="0.25">
      <c r="XFA465" s="40">
        <v>451</v>
      </c>
      <c r="XFB465" s="40">
        <v>0.7</v>
      </c>
    </row>
    <row r="466" spans="16381:16382" x14ac:dyDescent="0.25">
      <c r="XFA466" s="40">
        <v>452</v>
      </c>
      <c r="XFB466" s="40">
        <v>0.7</v>
      </c>
    </row>
    <row r="467" spans="16381:16382" x14ac:dyDescent="0.25">
      <c r="XFA467" s="40">
        <v>453</v>
      </c>
      <c r="XFB467" s="40">
        <v>0.7</v>
      </c>
    </row>
    <row r="468" spans="16381:16382" x14ac:dyDescent="0.25">
      <c r="XFA468" s="40">
        <v>454</v>
      </c>
      <c r="XFB468" s="40">
        <v>0.7</v>
      </c>
    </row>
    <row r="469" spans="16381:16382" x14ac:dyDescent="0.25">
      <c r="XFA469" s="40">
        <v>455</v>
      </c>
      <c r="XFB469" s="40">
        <v>0.7</v>
      </c>
    </row>
    <row r="470" spans="16381:16382" x14ac:dyDescent="0.25">
      <c r="XFA470" s="40">
        <v>456</v>
      </c>
      <c r="XFB470" s="40">
        <v>0.7</v>
      </c>
    </row>
    <row r="471" spans="16381:16382" x14ac:dyDescent="0.25">
      <c r="XFA471" s="40">
        <v>457</v>
      </c>
      <c r="XFB471" s="40">
        <v>0.7</v>
      </c>
    </row>
    <row r="472" spans="16381:16382" x14ac:dyDescent="0.25">
      <c r="XFA472" s="40">
        <v>458</v>
      </c>
      <c r="XFB472" s="40">
        <v>0.7</v>
      </c>
    </row>
    <row r="473" spans="16381:16382" x14ac:dyDescent="0.25">
      <c r="XFA473" s="40">
        <v>459</v>
      </c>
      <c r="XFB473" s="40">
        <v>0.7</v>
      </c>
    </row>
    <row r="474" spans="16381:16382" x14ac:dyDescent="0.25">
      <c r="XFA474" s="40">
        <v>460</v>
      </c>
      <c r="XFB474" s="40">
        <v>0.7</v>
      </c>
    </row>
    <row r="475" spans="16381:16382" x14ac:dyDescent="0.25">
      <c r="XFA475" s="40">
        <v>461</v>
      </c>
      <c r="XFB475" s="40">
        <v>0.7</v>
      </c>
    </row>
    <row r="476" spans="16381:16382" x14ac:dyDescent="0.25">
      <c r="XFA476" s="40">
        <v>462</v>
      </c>
      <c r="XFB476" s="40">
        <v>0.7</v>
      </c>
    </row>
    <row r="477" spans="16381:16382" x14ac:dyDescent="0.25">
      <c r="XFA477" s="40">
        <v>463</v>
      </c>
      <c r="XFB477" s="40">
        <v>0.7</v>
      </c>
    </row>
    <row r="478" spans="16381:16382" x14ac:dyDescent="0.25">
      <c r="XFA478" s="40">
        <v>464</v>
      </c>
      <c r="XFB478" s="40">
        <v>0.7</v>
      </c>
    </row>
    <row r="479" spans="16381:16382" x14ac:dyDescent="0.25">
      <c r="XFA479" s="40">
        <v>465</v>
      </c>
      <c r="XFB479" s="40">
        <v>0.7</v>
      </c>
    </row>
    <row r="480" spans="16381:16382" x14ac:dyDescent="0.25">
      <c r="XFA480" s="40">
        <v>466</v>
      </c>
      <c r="XFB480" s="40">
        <v>0.7</v>
      </c>
    </row>
    <row r="481" spans="16381:16382" x14ac:dyDescent="0.25">
      <c r="XFA481" s="40">
        <v>467</v>
      </c>
      <c r="XFB481" s="40">
        <v>0.7</v>
      </c>
    </row>
    <row r="482" spans="16381:16382" x14ac:dyDescent="0.25">
      <c r="XFA482" s="40">
        <v>468</v>
      </c>
      <c r="XFB482" s="40">
        <v>0.7</v>
      </c>
    </row>
    <row r="483" spans="16381:16382" x14ac:dyDescent="0.25">
      <c r="XFA483" s="40">
        <v>469</v>
      </c>
      <c r="XFB483" s="40">
        <v>0.7</v>
      </c>
    </row>
    <row r="484" spans="16381:16382" x14ac:dyDescent="0.25">
      <c r="XFA484" s="40">
        <v>470</v>
      </c>
      <c r="XFB484" s="40">
        <v>0.7</v>
      </c>
    </row>
    <row r="485" spans="16381:16382" x14ac:dyDescent="0.25">
      <c r="XFA485" s="40">
        <v>471</v>
      </c>
      <c r="XFB485" s="40">
        <v>0.7</v>
      </c>
    </row>
    <row r="486" spans="16381:16382" x14ac:dyDescent="0.25">
      <c r="XFA486" s="40">
        <v>472</v>
      </c>
      <c r="XFB486" s="40">
        <v>0.7</v>
      </c>
    </row>
    <row r="487" spans="16381:16382" x14ac:dyDescent="0.25">
      <c r="XFA487" s="40">
        <v>473</v>
      </c>
      <c r="XFB487" s="40">
        <v>0.7</v>
      </c>
    </row>
    <row r="488" spans="16381:16382" x14ac:dyDescent="0.25">
      <c r="XFA488" s="40">
        <v>474</v>
      </c>
      <c r="XFB488" s="40">
        <v>0.7</v>
      </c>
    </row>
    <row r="489" spans="16381:16382" x14ac:dyDescent="0.25">
      <c r="XFA489" s="40">
        <v>475</v>
      </c>
      <c r="XFB489" s="40">
        <v>0.7</v>
      </c>
    </row>
    <row r="490" spans="16381:16382" x14ac:dyDescent="0.25">
      <c r="XFA490" s="40">
        <v>476</v>
      </c>
      <c r="XFB490" s="40">
        <v>0.7</v>
      </c>
    </row>
    <row r="491" spans="16381:16382" x14ac:dyDescent="0.25">
      <c r="XFA491" s="40">
        <v>477</v>
      </c>
      <c r="XFB491" s="40">
        <v>0.7</v>
      </c>
    </row>
    <row r="492" spans="16381:16382" x14ac:dyDescent="0.25">
      <c r="XFA492" s="40">
        <v>478</v>
      </c>
      <c r="XFB492" s="40">
        <v>0.7</v>
      </c>
    </row>
    <row r="493" spans="16381:16382" x14ac:dyDescent="0.25">
      <c r="XFA493" s="40">
        <v>479</v>
      </c>
      <c r="XFB493" s="40">
        <v>0.7</v>
      </c>
    </row>
    <row r="494" spans="16381:16382" x14ac:dyDescent="0.25">
      <c r="XFA494" s="40">
        <v>480</v>
      </c>
      <c r="XFB494" s="40">
        <v>0.7</v>
      </c>
    </row>
    <row r="495" spans="16381:16382" x14ac:dyDescent="0.25">
      <c r="XFA495" s="40">
        <v>481</v>
      </c>
      <c r="XFB495" s="40">
        <v>0.7</v>
      </c>
    </row>
    <row r="496" spans="16381:16382" x14ac:dyDescent="0.25">
      <c r="XFA496" s="40">
        <v>482</v>
      </c>
      <c r="XFB496" s="40">
        <v>0.7</v>
      </c>
    </row>
    <row r="497" spans="16381:16382" x14ac:dyDescent="0.25">
      <c r="XFA497" s="40">
        <v>483</v>
      </c>
      <c r="XFB497" s="40">
        <v>0.7</v>
      </c>
    </row>
    <row r="498" spans="16381:16382" x14ac:dyDescent="0.25">
      <c r="XFA498" s="40">
        <v>484</v>
      </c>
      <c r="XFB498" s="40">
        <v>0.7</v>
      </c>
    </row>
    <row r="499" spans="16381:16382" x14ac:dyDescent="0.25">
      <c r="XFA499" s="40">
        <v>485</v>
      </c>
      <c r="XFB499" s="40">
        <v>0.7</v>
      </c>
    </row>
    <row r="500" spans="16381:16382" x14ac:dyDescent="0.25">
      <c r="XFA500" s="40">
        <v>486</v>
      </c>
      <c r="XFB500" s="40">
        <v>0.7</v>
      </c>
    </row>
    <row r="501" spans="16381:16382" x14ac:dyDescent="0.25">
      <c r="XFA501" s="40">
        <v>487</v>
      </c>
      <c r="XFB501" s="40">
        <v>0.7</v>
      </c>
    </row>
    <row r="502" spans="16381:16382" x14ac:dyDescent="0.25">
      <c r="XFA502" s="40">
        <v>488</v>
      </c>
      <c r="XFB502" s="40">
        <v>0.7</v>
      </c>
    </row>
    <row r="503" spans="16381:16382" x14ac:dyDescent="0.25">
      <c r="XFA503" s="40">
        <v>489</v>
      </c>
      <c r="XFB503" s="40">
        <v>0.7</v>
      </c>
    </row>
    <row r="504" spans="16381:16382" x14ac:dyDescent="0.25">
      <c r="XFA504" s="40">
        <v>490</v>
      </c>
      <c r="XFB504" s="40">
        <v>0.7</v>
      </c>
    </row>
    <row r="505" spans="16381:16382" x14ac:dyDescent="0.25">
      <c r="XFA505" s="40">
        <v>491</v>
      </c>
      <c r="XFB505" s="40">
        <v>0.7</v>
      </c>
    </row>
    <row r="506" spans="16381:16382" x14ac:dyDescent="0.25">
      <c r="XFA506" s="40">
        <v>492</v>
      </c>
      <c r="XFB506" s="40">
        <v>0.7</v>
      </c>
    </row>
    <row r="507" spans="16381:16382" x14ac:dyDescent="0.25">
      <c r="XFA507" s="40">
        <v>493</v>
      </c>
      <c r="XFB507" s="40">
        <v>0.7</v>
      </c>
    </row>
    <row r="508" spans="16381:16382" x14ac:dyDescent="0.25">
      <c r="XFA508" s="40">
        <v>494</v>
      </c>
      <c r="XFB508" s="40">
        <v>0.7</v>
      </c>
    </row>
    <row r="509" spans="16381:16382" x14ac:dyDescent="0.25">
      <c r="XFA509" s="40">
        <v>495</v>
      </c>
      <c r="XFB509" s="40">
        <v>0.7</v>
      </c>
    </row>
    <row r="510" spans="16381:16382" x14ac:dyDescent="0.25">
      <c r="XFA510" s="40">
        <v>496</v>
      </c>
      <c r="XFB510" s="40">
        <v>0.7</v>
      </c>
    </row>
    <row r="511" spans="16381:16382" x14ac:dyDescent="0.25">
      <c r="XFA511" s="40">
        <v>497</v>
      </c>
      <c r="XFB511" s="40">
        <v>0.7</v>
      </c>
    </row>
    <row r="512" spans="16381:16382" x14ac:dyDescent="0.25">
      <c r="XFA512" s="40">
        <v>498</v>
      </c>
      <c r="XFB512" s="40">
        <v>0.7</v>
      </c>
    </row>
    <row r="513" spans="16381:16382" x14ac:dyDescent="0.25">
      <c r="XFA513" s="40">
        <v>499</v>
      </c>
      <c r="XFB513" s="40">
        <v>0.7</v>
      </c>
    </row>
    <row r="514" spans="16381:16382" x14ac:dyDescent="0.25">
      <c r="XFA514" s="40">
        <v>500</v>
      </c>
      <c r="XFB514" s="40">
        <v>0.7</v>
      </c>
    </row>
    <row r="515" spans="16381:16382" x14ac:dyDescent="0.25">
      <c r="XFA515" s="40">
        <v>501</v>
      </c>
      <c r="XFB515" s="40">
        <v>0.7</v>
      </c>
    </row>
    <row r="516" spans="16381:16382" x14ac:dyDescent="0.25">
      <c r="XFA516" s="40">
        <v>502</v>
      </c>
      <c r="XFB516" s="40">
        <v>0.7</v>
      </c>
    </row>
    <row r="517" spans="16381:16382" x14ac:dyDescent="0.25">
      <c r="XFA517" s="40">
        <v>503</v>
      </c>
      <c r="XFB517" s="40">
        <v>0.7</v>
      </c>
    </row>
    <row r="518" spans="16381:16382" x14ac:dyDescent="0.25">
      <c r="XFA518" s="40">
        <v>504</v>
      </c>
      <c r="XFB518" s="40">
        <v>0.7</v>
      </c>
    </row>
    <row r="519" spans="16381:16382" x14ac:dyDescent="0.25">
      <c r="XFA519" s="40">
        <v>505</v>
      </c>
      <c r="XFB519" s="40">
        <v>0.7</v>
      </c>
    </row>
    <row r="520" spans="16381:16382" x14ac:dyDescent="0.25">
      <c r="XFA520" s="40">
        <v>506</v>
      </c>
      <c r="XFB520" s="40">
        <v>0.7</v>
      </c>
    </row>
    <row r="521" spans="16381:16382" x14ac:dyDescent="0.25">
      <c r="XFA521" s="40">
        <v>507</v>
      </c>
      <c r="XFB521" s="40">
        <v>0.7</v>
      </c>
    </row>
    <row r="522" spans="16381:16382" x14ac:dyDescent="0.25">
      <c r="XFA522" s="40">
        <v>508</v>
      </c>
      <c r="XFB522" s="40">
        <v>0.7</v>
      </c>
    </row>
    <row r="523" spans="16381:16382" x14ac:dyDescent="0.25">
      <c r="XFA523" s="40">
        <v>509</v>
      </c>
      <c r="XFB523" s="40">
        <v>0.7</v>
      </c>
    </row>
    <row r="524" spans="16381:16382" x14ac:dyDescent="0.25">
      <c r="XFA524" s="40">
        <v>510</v>
      </c>
      <c r="XFB524" s="40">
        <v>0.7</v>
      </c>
    </row>
    <row r="525" spans="16381:16382" x14ac:dyDescent="0.25">
      <c r="XFA525" s="40">
        <v>511</v>
      </c>
      <c r="XFB525" s="40">
        <v>0.7</v>
      </c>
    </row>
    <row r="526" spans="16381:16382" x14ac:dyDescent="0.25">
      <c r="XFA526" s="40">
        <v>512</v>
      </c>
      <c r="XFB526" s="40">
        <v>0.7</v>
      </c>
    </row>
    <row r="527" spans="16381:16382" x14ac:dyDescent="0.25">
      <c r="XFA527" s="40">
        <v>513</v>
      </c>
      <c r="XFB527" s="40">
        <v>0.7</v>
      </c>
    </row>
    <row r="528" spans="16381:16382" x14ac:dyDescent="0.25">
      <c r="XFA528" s="40">
        <v>514</v>
      </c>
      <c r="XFB528" s="40">
        <v>0.7</v>
      </c>
    </row>
    <row r="529" spans="16381:16382" x14ac:dyDescent="0.25">
      <c r="XFA529" s="40">
        <v>515</v>
      </c>
      <c r="XFB529" s="40">
        <v>0.7</v>
      </c>
    </row>
    <row r="530" spans="16381:16382" x14ac:dyDescent="0.25">
      <c r="XFA530" s="40">
        <v>516</v>
      </c>
      <c r="XFB530" s="40">
        <v>0.7</v>
      </c>
    </row>
    <row r="531" spans="16381:16382" x14ac:dyDescent="0.25">
      <c r="XFA531" s="40">
        <v>517</v>
      </c>
      <c r="XFB531" s="40">
        <v>0.7</v>
      </c>
    </row>
    <row r="532" spans="16381:16382" x14ac:dyDescent="0.25">
      <c r="XFA532" s="40">
        <v>518</v>
      </c>
      <c r="XFB532" s="40">
        <v>0.7</v>
      </c>
    </row>
    <row r="533" spans="16381:16382" x14ac:dyDescent="0.25">
      <c r="XFA533" s="40">
        <v>519</v>
      </c>
      <c r="XFB533" s="40">
        <v>0.7</v>
      </c>
    </row>
    <row r="534" spans="16381:16382" x14ac:dyDescent="0.25">
      <c r="XFA534" s="40">
        <v>520</v>
      </c>
      <c r="XFB534" s="40">
        <v>0.7</v>
      </c>
    </row>
    <row r="535" spans="16381:16382" x14ac:dyDescent="0.25">
      <c r="XFA535" s="40">
        <v>521</v>
      </c>
      <c r="XFB535" s="40">
        <v>0.7</v>
      </c>
    </row>
    <row r="536" spans="16381:16382" x14ac:dyDescent="0.25">
      <c r="XFA536" s="40">
        <v>522</v>
      </c>
      <c r="XFB536" s="40">
        <v>0.7</v>
      </c>
    </row>
    <row r="537" spans="16381:16382" x14ac:dyDescent="0.25">
      <c r="XFA537" s="40">
        <v>523</v>
      </c>
      <c r="XFB537" s="40">
        <v>0.7</v>
      </c>
    </row>
    <row r="538" spans="16381:16382" x14ac:dyDescent="0.25">
      <c r="XFA538" s="40">
        <v>524</v>
      </c>
      <c r="XFB538" s="40">
        <v>0.7</v>
      </c>
    </row>
    <row r="539" spans="16381:16382" x14ac:dyDescent="0.25">
      <c r="XFA539" s="40">
        <v>525</v>
      </c>
      <c r="XFB539" s="40">
        <v>0.7</v>
      </c>
    </row>
    <row r="540" spans="16381:16382" x14ac:dyDescent="0.25">
      <c r="XFA540" s="40">
        <v>526</v>
      </c>
      <c r="XFB540" s="40">
        <v>0.7</v>
      </c>
    </row>
    <row r="541" spans="16381:16382" x14ac:dyDescent="0.25">
      <c r="XFA541" s="40">
        <v>527</v>
      </c>
      <c r="XFB541" s="40">
        <v>0.7</v>
      </c>
    </row>
    <row r="542" spans="16381:16382" x14ac:dyDescent="0.25">
      <c r="XFA542" s="40">
        <v>528</v>
      </c>
      <c r="XFB542" s="40">
        <v>0.7</v>
      </c>
    </row>
    <row r="543" spans="16381:16382" x14ac:dyDescent="0.25">
      <c r="XFA543" s="40">
        <v>529</v>
      </c>
      <c r="XFB543" s="40">
        <v>0.7</v>
      </c>
    </row>
    <row r="544" spans="16381:16382" x14ac:dyDescent="0.25">
      <c r="XFA544" s="40">
        <v>530</v>
      </c>
      <c r="XFB544" s="40">
        <v>0.7</v>
      </c>
    </row>
    <row r="545" spans="16381:16382" x14ac:dyDescent="0.25">
      <c r="XFA545" s="40">
        <v>531</v>
      </c>
      <c r="XFB545" s="40">
        <v>0.7</v>
      </c>
    </row>
    <row r="546" spans="16381:16382" x14ac:dyDescent="0.25">
      <c r="XFA546" s="40">
        <v>532</v>
      </c>
      <c r="XFB546" s="40">
        <v>0.7</v>
      </c>
    </row>
    <row r="547" spans="16381:16382" x14ac:dyDescent="0.25">
      <c r="XFA547" s="40">
        <v>533</v>
      </c>
      <c r="XFB547" s="40">
        <v>0.7</v>
      </c>
    </row>
    <row r="548" spans="16381:16382" x14ac:dyDescent="0.25">
      <c r="XFA548" s="40">
        <v>534</v>
      </c>
      <c r="XFB548" s="40">
        <v>0.7</v>
      </c>
    </row>
    <row r="549" spans="16381:16382" x14ac:dyDescent="0.25">
      <c r="XFA549" s="40">
        <v>535</v>
      </c>
      <c r="XFB549" s="40">
        <v>0.7</v>
      </c>
    </row>
    <row r="550" spans="16381:16382" x14ac:dyDescent="0.25">
      <c r="XFA550" s="40">
        <v>536</v>
      </c>
      <c r="XFB550" s="40">
        <v>0.7</v>
      </c>
    </row>
    <row r="551" spans="16381:16382" x14ac:dyDescent="0.25">
      <c r="XFA551" s="40">
        <v>537</v>
      </c>
      <c r="XFB551" s="40">
        <v>0.7</v>
      </c>
    </row>
    <row r="552" spans="16381:16382" x14ac:dyDescent="0.25">
      <c r="XFA552" s="40">
        <v>538</v>
      </c>
      <c r="XFB552" s="40">
        <v>0.7</v>
      </c>
    </row>
    <row r="553" spans="16381:16382" x14ac:dyDescent="0.25">
      <c r="XFA553" s="40">
        <v>539</v>
      </c>
      <c r="XFB553" s="40">
        <v>0.7</v>
      </c>
    </row>
    <row r="554" spans="16381:16382" x14ac:dyDescent="0.25">
      <c r="XFA554" s="40">
        <v>540</v>
      </c>
      <c r="XFB554" s="40">
        <v>0.7</v>
      </c>
    </row>
    <row r="555" spans="16381:16382" x14ac:dyDescent="0.25">
      <c r="XFA555" s="40">
        <v>541</v>
      </c>
      <c r="XFB555" s="40">
        <v>0.7</v>
      </c>
    </row>
    <row r="556" spans="16381:16382" x14ac:dyDescent="0.25">
      <c r="XFA556" s="40">
        <v>542</v>
      </c>
      <c r="XFB556" s="40">
        <v>0.7</v>
      </c>
    </row>
    <row r="557" spans="16381:16382" x14ac:dyDescent="0.25">
      <c r="XFA557" s="40">
        <v>543</v>
      </c>
      <c r="XFB557" s="40">
        <v>0.7</v>
      </c>
    </row>
    <row r="558" spans="16381:16382" x14ac:dyDescent="0.25">
      <c r="XFA558" s="40">
        <v>544</v>
      </c>
      <c r="XFB558" s="40">
        <v>0.7</v>
      </c>
    </row>
    <row r="559" spans="16381:16382" x14ac:dyDescent="0.25">
      <c r="XFA559" s="40">
        <v>545</v>
      </c>
      <c r="XFB559" s="40">
        <v>0.7</v>
      </c>
    </row>
    <row r="560" spans="16381:16382" x14ac:dyDescent="0.25">
      <c r="XFA560" s="40">
        <v>546</v>
      </c>
      <c r="XFB560" s="40">
        <v>0.7</v>
      </c>
    </row>
    <row r="561" spans="16381:16382" x14ac:dyDescent="0.25">
      <c r="XFA561" s="40">
        <v>547</v>
      </c>
      <c r="XFB561" s="40">
        <v>0.7</v>
      </c>
    </row>
    <row r="562" spans="16381:16382" x14ac:dyDescent="0.25">
      <c r="XFA562" s="40">
        <v>548</v>
      </c>
      <c r="XFB562" s="40">
        <v>0.7</v>
      </c>
    </row>
    <row r="563" spans="16381:16382" x14ac:dyDescent="0.25">
      <c r="XFA563" s="40">
        <v>549</v>
      </c>
      <c r="XFB563" s="40">
        <v>0.7</v>
      </c>
    </row>
    <row r="564" spans="16381:16382" x14ac:dyDescent="0.25">
      <c r="XFA564" s="40">
        <v>550</v>
      </c>
      <c r="XFB564" s="40">
        <v>0.7</v>
      </c>
    </row>
    <row r="565" spans="16381:16382" x14ac:dyDescent="0.25">
      <c r="XFA565" s="40">
        <v>551</v>
      </c>
      <c r="XFB565" s="40">
        <v>0.7</v>
      </c>
    </row>
    <row r="566" spans="16381:16382" x14ac:dyDescent="0.25">
      <c r="XFA566" s="40">
        <v>552</v>
      </c>
      <c r="XFB566" s="40">
        <v>0.7</v>
      </c>
    </row>
    <row r="567" spans="16381:16382" x14ac:dyDescent="0.25">
      <c r="XFA567" s="40">
        <v>553</v>
      </c>
      <c r="XFB567" s="40">
        <v>0.7</v>
      </c>
    </row>
    <row r="568" spans="16381:16382" x14ac:dyDescent="0.25">
      <c r="XFA568" s="40">
        <v>554</v>
      </c>
      <c r="XFB568" s="40">
        <v>0.7</v>
      </c>
    </row>
    <row r="569" spans="16381:16382" x14ac:dyDescent="0.25">
      <c r="XFA569" s="40">
        <v>555</v>
      </c>
      <c r="XFB569" s="40">
        <v>0.7</v>
      </c>
    </row>
    <row r="570" spans="16381:16382" x14ac:dyDescent="0.25">
      <c r="XFA570" s="40">
        <v>556</v>
      </c>
      <c r="XFB570" s="40">
        <v>0.7</v>
      </c>
    </row>
    <row r="571" spans="16381:16382" x14ac:dyDescent="0.25">
      <c r="XFA571" s="40">
        <v>557</v>
      </c>
      <c r="XFB571" s="40">
        <v>0.7</v>
      </c>
    </row>
    <row r="572" spans="16381:16382" x14ac:dyDescent="0.25">
      <c r="XFA572" s="40">
        <v>558</v>
      </c>
      <c r="XFB572" s="40">
        <v>0.7</v>
      </c>
    </row>
    <row r="573" spans="16381:16382" x14ac:dyDescent="0.25">
      <c r="XFA573" s="40">
        <v>559</v>
      </c>
      <c r="XFB573" s="40">
        <v>0.7</v>
      </c>
    </row>
    <row r="574" spans="16381:16382" x14ac:dyDescent="0.25">
      <c r="XFA574" s="40">
        <v>560</v>
      </c>
      <c r="XFB574" s="40">
        <v>0.7</v>
      </c>
    </row>
    <row r="575" spans="16381:16382" x14ac:dyDescent="0.25">
      <c r="XFA575" s="40">
        <v>561</v>
      </c>
      <c r="XFB575" s="40">
        <v>0.7</v>
      </c>
    </row>
    <row r="576" spans="16381:16382" x14ac:dyDescent="0.25">
      <c r="XFA576" s="40">
        <v>562</v>
      </c>
      <c r="XFB576" s="40">
        <v>0.7</v>
      </c>
    </row>
    <row r="577" spans="16381:16382" x14ac:dyDescent="0.25">
      <c r="XFA577" s="40">
        <v>563</v>
      </c>
      <c r="XFB577" s="40">
        <v>0.7</v>
      </c>
    </row>
    <row r="578" spans="16381:16382" x14ac:dyDescent="0.25">
      <c r="XFA578" s="40">
        <v>564</v>
      </c>
      <c r="XFB578" s="40">
        <v>0.7</v>
      </c>
    </row>
    <row r="579" spans="16381:16382" x14ac:dyDescent="0.25">
      <c r="XFA579" s="40">
        <v>565</v>
      </c>
      <c r="XFB579" s="40">
        <v>0.7</v>
      </c>
    </row>
    <row r="580" spans="16381:16382" x14ac:dyDescent="0.25">
      <c r="XFA580" s="40">
        <v>566</v>
      </c>
      <c r="XFB580" s="40">
        <v>0.7</v>
      </c>
    </row>
    <row r="581" spans="16381:16382" x14ac:dyDescent="0.25">
      <c r="XFA581" s="40">
        <v>567</v>
      </c>
      <c r="XFB581" s="40">
        <v>0.7</v>
      </c>
    </row>
    <row r="582" spans="16381:16382" x14ac:dyDescent="0.25">
      <c r="XFA582" s="40">
        <v>568</v>
      </c>
      <c r="XFB582" s="40">
        <v>0.7</v>
      </c>
    </row>
    <row r="583" spans="16381:16382" x14ac:dyDescent="0.25">
      <c r="XFA583" s="40">
        <v>569</v>
      </c>
      <c r="XFB583" s="40">
        <v>0.7</v>
      </c>
    </row>
    <row r="584" spans="16381:16382" x14ac:dyDescent="0.25">
      <c r="XFA584" s="40">
        <v>570</v>
      </c>
      <c r="XFB584" s="40">
        <v>0.7</v>
      </c>
    </row>
    <row r="585" spans="16381:16382" x14ac:dyDescent="0.25">
      <c r="XFA585" s="40">
        <v>571</v>
      </c>
      <c r="XFB585" s="40">
        <v>0.7</v>
      </c>
    </row>
    <row r="586" spans="16381:16382" x14ac:dyDescent="0.25">
      <c r="XFA586" s="40">
        <v>572</v>
      </c>
      <c r="XFB586" s="40">
        <v>0.7</v>
      </c>
    </row>
    <row r="587" spans="16381:16382" x14ac:dyDescent="0.25">
      <c r="XFA587" s="40">
        <v>573</v>
      </c>
      <c r="XFB587" s="40">
        <v>0.7</v>
      </c>
    </row>
    <row r="588" spans="16381:16382" x14ac:dyDescent="0.25">
      <c r="XFA588" s="40">
        <v>574</v>
      </c>
      <c r="XFB588" s="40">
        <v>0.7</v>
      </c>
    </row>
    <row r="589" spans="16381:16382" x14ac:dyDescent="0.25">
      <c r="XFA589" s="40">
        <v>575</v>
      </c>
      <c r="XFB589" s="40">
        <v>0.7</v>
      </c>
    </row>
    <row r="590" spans="16381:16382" x14ac:dyDescent="0.25">
      <c r="XFA590" s="40">
        <v>576</v>
      </c>
      <c r="XFB590" s="40">
        <v>0.7</v>
      </c>
    </row>
    <row r="591" spans="16381:16382" x14ac:dyDescent="0.25">
      <c r="XFA591" s="40">
        <v>577</v>
      </c>
      <c r="XFB591" s="40">
        <v>0.7</v>
      </c>
    </row>
    <row r="592" spans="16381:16382" x14ac:dyDescent="0.25">
      <c r="XFA592" s="40">
        <v>578</v>
      </c>
      <c r="XFB592" s="40">
        <v>0.7</v>
      </c>
    </row>
    <row r="593" spans="16381:16382" x14ac:dyDescent="0.25">
      <c r="XFA593" s="40">
        <v>579</v>
      </c>
      <c r="XFB593" s="40">
        <v>0.7</v>
      </c>
    </row>
    <row r="594" spans="16381:16382" x14ac:dyDescent="0.25">
      <c r="XFA594" s="40">
        <v>580</v>
      </c>
      <c r="XFB594" s="40">
        <v>0.7</v>
      </c>
    </row>
    <row r="595" spans="16381:16382" x14ac:dyDescent="0.25">
      <c r="XFA595" s="40">
        <v>581</v>
      </c>
      <c r="XFB595" s="40">
        <v>0.7</v>
      </c>
    </row>
    <row r="596" spans="16381:16382" x14ac:dyDescent="0.25">
      <c r="XFA596" s="40">
        <v>582</v>
      </c>
      <c r="XFB596" s="40">
        <v>0.7</v>
      </c>
    </row>
    <row r="597" spans="16381:16382" x14ac:dyDescent="0.25">
      <c r="XFA597" s="40">
        <v>583</v>
      </c>
      <c r="XFB597" s="40">
        <v>0.7</v>
      </c>
    </row>
    <row r="598" spans="16381:16382" x14ac:dyDescent="0.25">
      <c r="XFA598" s="40">
        <v>584</v>
      </c>
      <c r="XFB598" s="40">
        <v>0.7</v>
      </c>
    </row>
    <row r="599" spans="16381:16382" x14ac:dyDescent="0.25">
      <c r="XFA599" s="40">
        <v>585</v>
      </c>
      <c r="XFB599" s="40">
        <v>0.7</v>
      </c>
    </row>
    <row r="600" spans="16381:16382" x14ac:dyDescent="0.25">
      <c r="XFA600" s="40">
        <v>586</v>
      </c>
      <c r="XFB600" s="40">
        <v>0.7</v>
      </c>
    </row>
    <row r="601" spans="16381:16382" x14ac:dyDescent="0.25">
      <c r="XFA601" s="40">
        <v>587</v>
      </c>
      <c r="XFB601" s="40">
        <v>0.7</v>
      </c>
    </row>
    <row r="602" spans="16381:16382" x14ac:dyDescent="0.25">
      <c r="XFA602" s="40">
        <v>588</v>
      </c>
      <c r="XFB602" s="40">
        <v>0.7</v>
      </c>
    </row>
    <row r="603" spans="16381:16382" x14ac:dyDescent="0.25">
      <c r="XFA603" s="40">
        <v>589</v>
      </c>
      <c r="XFB603" s="40">
        <v>0.7</v>
      </c>
    </row>
    <row r="604" spans="16381:16382" x14ac:dyDescent="0.25">
      <c r="XFA604" s="40">
        <v>590</v>
      </c>
      <c r="XFB604" s="40">
        <v>0.7</v>
      </c>
    </row>
    <row r="605" spans="16381:16382" x14ac:dyDescent="0.25">
      <c r="XFA605" s="40">
        <v>591</v>
      </c>
      <c r="XFB605" s="40">
        <v>0.7</v>
      </c>
    </row>
    <row r="606" spans="16381:16382" x14ac:dyDescent="0.25">
      <c r="XFA606" s="40">
        <v>592</v>
      </c>
      <c r="XFB606" s="40">
        <v>0.7</v>
      </c>
    </row>
    <row r="607" spans="16381:16382" x14ac:dyDescent="0.25">
      <c r="XFA607" s="40">
        <v>593</v>
      </c>
      <c r="XFB607" s="40">
        <v>0.7</v>
      </c>
    </row>
    <row r="608" spans="16381:16382" x14ac:dyDescent="0.25">
      <c r="XFA608" s="40">
        <v>594</v>
      </c>
      <c r="XFB608" s="40">
        <v>0.7</v>
      </c>
    </row>
    <row r="609" spans="16381:16382" x14ac:dyDescent="0.25">
      <c r="XFA609" s="40">
        <v>595</v>
      </c>
      <c r="XFB609" s="40">
        <v>0.7</v>
      </c>
    </row>
    <row r="610" spans="16381:16382" x14ac:dyDescent="0.25">
      <c r="XFA610" s="40">
        <v>596</v>
      </c>
      <c r="XFB610" s="40">
        <v>0.7</v>
      </c>
    </row>
    <row r="611" spans="16381:16382" x14ac:dyDescent="0.25">
      <c r="XFA611" s="40">
        <v>597</v>
      </c>
      <c r="XFB611" s="40">
        <v>0.7</v>
      </c>
    </row>
    <row r="612" spans="16381:16382" x14ac:dyDescent="0.25">
      <c r="XFA612" s="40">
        <v>598</v>
      </c>
      <c r="XFB612" s="40">
        <v>0.7</v>
      </c>
    </row>
    <row r="613" spans="16381:16382" x14ac:dyDescent="0.25">
      <c r="XFA613" s="40">
        <v>599</v>
      </c>
      <c r="XFB613" s="40">
        <v>0.7</v>
      </c>
    </row>
    <row r="614" spans="16381:16382" x14ac:dyDescent="0.25">
      <c r="XFA614" s="40">
        <v>600</v>
      </c>
      <c r="XFB614" s="40">
        <v>0.7</v>
      </c>
    </row>
    <row r="615" spans="16381:16382" x14ac:dyDescent="0.25">
      <c r="XFA615" s="40">
        <v>601</v>
      </c>
      <c r="XFB615" s="40">
        <v>0.7</v>
      </c>
    </row>
    <row r="616" spans="16381:16382" x14ac:dyDescent="0.25">
      <c r="XFA616" s="40">
        <v>602</v>
      </c>
      <c r="XFB616" s="40">
        <v>0.7</v>
      </c>
    </row>
    <row r="617" spans="16381:16382" x14ac:dyDescent="0.25">
      <c r="XFA617" s="40">
        <v>603</v>
      </c>
      <c r="XFB617" s="40">
        <v>0.7</v>
      </c>
    </row>
    <row r="618" spans="16381:16382" x14ac:dyDescent="0.25">
      <c r="XFA618" s="40">
        <v>604</v>
      </c>
      <c r="XFB618" s="40">
        <v>0.7</v>
      </c>
    </row>
    <row r="619" spans="16381:16382" x14ac:dyDescent="0.25">
      <c r="XFA619" s="40">
        <v>605</v>
      </c>
      <c r="XFB619" s="40">
        <v>0.7</v>
      </c>
    </row>
    <row r="620" spans="16381:16382" x14ac:dyDescent="0.25">
      <c r="XFA620" s="40">
        <v>606</v>
      </c>
      <c r="XFB620" s="40">
        <v>0.7</v>
      </c>
    </row>
    <row r="621" spans="16381:16382" x14ac:dyDescent="0.25">
      <c r="XFA621" s="40">
        <v>607</v>
      </c>
      <c r="XFB621" s="40">
        <v>0.7</v>
      </c>
    </row>
    <row r="622" spans="16381:16382" x14ac:dyDescent="0.25">
      <c r="XFA622" s="40">
        <v>608</v>
      </c>
      <c r="XFB622" s="40">
        <v>0.7</v>
      </c>
    </row>
    <row r="623" spans="16381:16382" x14ac:dyDescent="0.25">
      <c r="XFA623" s="40">
        <v>609</v>
      </c>
      <c r="XFB623" s="40">
        <v>0.7</v>
      </c>
    </row>
    <row r="624" spans="16381:16382" x14ac:dyDescent="0.25">
      <c r="XFA624" s="40">
        <v>610</v>
      </c>
      <c r="XFB624" s="40">
        <v>0.7</v>
      </c>
    </row>
    <row r="625" spans="16381:16382" x14ac:dyDescent="0.25">
      <c r="XFA625" s="40">
        <v>611</v>
      </c>
      <c r="XFB625" s="40">
        <v>0.7</v>
      </c>
    </row>
    <row r="626" spans="16381:16382" x14ac:dyDescent="0.25">
      <c r="XFA626" s="40">
        <v>612</v>
      </c>
      <c r="XFB626" s="40">
        <v>0.7</v>
      </c>
    </row>
    <row r="627" spans="16381:16382" x14ac:dyDescent="0.25">
      <c r="XFA627" s="40">
        <v>613</v>
      </c>
      <c r="XFB627" s="40">
        <v>0.7</v>
      </c>
    </row>
    <row r="628" spans="16381:16382" x14ac:dyDescent="0.25">
      <c r="XFA628" s="40">
        <v>614</v>
      </c>
      <c r="XFB628" s="40">
        <v>0.7</v>
      </c>
    </row>
    <row r="629" spans="16381:16382" x14ac:dyDescent="0.25">
      <c r="XFA629" s="40">
        <v>615</v>
      </c>
      <c r="XFB629" s="40">
        <v>0.7</v>
      </c>
    </row>
    <row r="630" spans="16381:16382" x14ac:dyDescent="0.25">
      <c r="XFA630" s="40">
        <v>616</v>
      </c>
      <c r="XFB630" s="40">
        <v>0.7</v>
      </c>
    </row>
    <row r="631" spans="16381:16382" x14ac:dyDescent="0.25">
      <c r="XFA631" s="40">
        <v>617</v>
      </c>
      <c r="XFB631" s="40">
        <v>0.7</v>
      </c>
    </row>
    <row r="632" spans="16381:16382" x14ac:dyDescent="0.25">
      <c r="XFA632" s="40">
        <v>618</v>
      </c>
      <c r="XFB632" s="40">
        <v>0.7</v>
      </c>
    </row>
    <row r="633" spans="16381:16382" x14ac:dyDescent="0.25">
      <c r="XFA633" s="40">
        <v>619</v>
      </c>
      <c r="XFB633" s="40">
        <v>0.7</v>
      </c>
    </row>
    <row r="634" spans="16381:16382" x14ac:dyDescent="0.25">
      <c r="XFA634" s="40">
        <v>620</v>
      </c>
      <c r="XFB634" s="40">
        <v>0.7</v>
      </c>
    </row>
    <row r="635" spans="16381:16382" x14ac:dyDescent="0.25">
      <c r="XFA635" s="40">
        <v>621</v>
      </c>
      <c r="XFB635" s="40">
        <v>0.7</v>
      </c>
    </row>
    <row r="636" spans="16381:16382" x14ac:dyDescent="0.25">
      <c r="XFA636" s="40">
        <v>622</v>
      </c>
      <c r="XFB636" s="40">
        <v>0.7</v>
      </c>
    </row>
    <row r="637" spans="16381:16382" x14ac:dyDescent="0.25">
      <c r="XFA637" s="40">
        <v>623</v>
      </c>
      <c r="XFB637" s="40">
        <v>0.7</v>
      </c>
    </row>
    <row r="638" spans="16381:16382" x14ac:dyDescent="0.25">
      <c r="XFA638" s="40">
        <v>624</v>
      </c>
      <c r="XFB638" s="40">
        <v>0.7</v>
      </c>
    </row>
    <row r="639" spans="16381:16382" x14ac:dyDescent="0.25">
      <c r="XFA639" s="40">
        <v>625</v>
      </c>
      <c r="XFB639" s="40">
        <v>0.7</v>
      </c>
    </row>
    <row r="640" spans="16381:16382" x14ac:dyDescent="0.25">
      <c r="XFA640" s="40">
        <v>626</v>
      </c>
      <c r="XFB640" s="40">
        <v>0.7</v>
      </c>
    </row>
    <row r="641" spans="16381:16382" x14ac:dyDescent="0.25">
      <c r="XFA641" s="40">
        <v>627</v>
      </c>
      <c r="XFB641" s="40">
        <v>0.7</v>
      </c>
    </row>
    <row r="642" spans="16381:16382" x14ac:dyDescent="0.25">
      <c r="XFA642" s="40">
        <v>628</v>
      </c>
      <c r="XFB642" s="40">
        <v>0.7</v>
      </c>
    </row>
    <row r="643" spans="16381:16382" x14ac:dyDescent="0.25">
      <c r="XFA643" s="40">
        <v>629</v>
      </c>
      <c r="XFB643" s="40">
        <v>0.7</v>
      </c>
    </row>
    <row r="644" spans="16381:16382" x14ac:dyDescent="0.25">
      <c r="XFA644" s="40">
        <v>630</v>
      </c>
      <c r="XFB644" s="40">
        <v>0.7</v>
      </c>
    </row>
    <row r="645" spans="16381:16382" x14ac:dyDescent="0.25">
      <c r="XFA645" s="40">
        <v>631</v>
      </c>
      <c r="XFB645" s="40">
        <v>0.7</v>
      </c>
    </row>
    <row r="646" spans="16381:16382" x14ac:dyDescent="0.25">
      <c r="XFA646" s="40">
        <v>632</v>
      </c>
      <c r="XFB646" s="40">
        <v>0.7</v>
      </c>
    </row>
    <row r="647" spans="16381:16382" x14ac:dyDescent="0.25">
      <c r="XFA647" s="40">
        <v>633</v>
      </c>
      <c r="XFB647" s="40">
        <v>0.7</v>
      </c>
    </row>
    <row r="648" spans="16381:16382" x14ac:dyDescent="0.25">
      <c r="XFA648" s="40">
        <v>634</v>
      </c>
      <c r="XFB648" s="40">
        <v>0.7</v>
      </c>
    </row>
    <row r="649" spans="16381:16382" x14ac:dyDescent="0.25">
      <c r="XFA649" s="40">
        <v>635</v>
      </c>
      <c r="XFB649" s="40">
        <v>0.7</v>
      </c>
    </row>
    <row r="650" spans="16381:16382" x14ac:dyDescent="0.25">
      <c r="XFA650" s="40">
        <v>636</v>
      </c>
      <c r="XFB650" s="40">
        <v>0.7</v>
      </c>
    </row>
    <row r="651" spans="16381:16382" x14ac:dyDescent="0.25">
      <c r="XFA651" s="40">
        <v>637</v>
      </c>
      <c r="XFB651" s="40">
        <v>0.7</v>
      </c>
    </row>
    <row r="652" spans="16381:16382" x14ac:dyDescent="0.25">
      <c r="XFA652" s="40">
        <v>638</v>
      </c>
      <c r="XFB652" s="40">
        <v>0.7</v>
      </c>
    </row>
    <row r="653" spans="16381:16382" x14ac:dyDescent="0.25">
      <c r="XFA653" s="40">
        <v>639</v>
      </c>
      <c r="XFB653" s="40">
        <v>0.7</v>
      </c>
    </row>
    <row r="654" spans="16381:16382" x14ac:dyDescent="0.25">
      <c r="XFA654" s="40">
        <v>640</v>
      </c>
      <c r="XFB654" s="40">
        <v>0.7</v>
      </c>
    </row>
    <row r="655" spans="16381:16382" x14ac:dyDescent="0.25">
      <c r="XFA655" s="40">
        <v>641</v>
      </c>
      <c r="XFB655" s="40">
        <v>0.7</v>
      </c>
    </row>
    <row r="656" spans="16381:16382" x14ac:dyDescent="0.25">
      <c r="XFA656" s="40">
        <v>642</v>
      </c>
      <c r="XFB656" s="40">
        <v>0.7</v>
      </c>
    </row>
    <row r="657" spans="16381:16382" x14ac:dyDescent="0.25">
      <c r="XFA657" s="40">
        <v>643</v>
      </c>
      <c r="XFB657" s="40">
        <v>0.7</v>
      </c>
    </row>
    <row r="658" spans="16381:16382" x14ac:dyDescent="0.25">
      <c r="XFA658" s="40">
        <v>644</v>
      </c>
      <c r="XFB658" s="40">
        <v>0.7</v>
      </c>
    </row>
    <row r="659" spans="16381:16382" x14ac:dyDescent="0.25">
      <c r="XFA659" s="40">
        <v>645</v>
      </c>
      <c r="XFB659" s="40">
        <v>0.7</v>
      </c>
    </row>
    <row r="660" spans="16381:16382" x14ac:dyDescent="0.25">
      <c r="XFA660" s="40">
        <v>646</v>
      </c>
      <c r="XFB660" s="40">
        <v>0.7</v>
      </c>
    </row>
    <row r="661" spans="16381:16382" x14ac:dyDescent="0.25">
      <c r="XFA661" s="40">
        <v>647</v>
      </c>
      <c r="XFB661" s="40">
        <v>0.7</v>
      </c>
    </row>
    <row r="662" spans="16381:16382" x14ac:dyDescent="0.25">
      <c r="XFA662" s="40">
        <v>648</v>
      </c>
      <c r="XFB662" s="40">
        <v>0.7</v>
      </c>
    </row>
    <row r="663" spans="16381:16382" x14ac:dyDescent="0.25">
      <c r="XFA663" s="40">
        <v>649</v>
      </c>
      <c r="XFB663" s="40">
        <v>0.7</v>
      </c>
    </row>
    <row r="664" spans="16381:16382" x14ac:dyDescent="0.25">
      <c r="XFA664" s="40">
        <v>650</v>
      </c>
      <c r="XFB664" s="40">
        <v>0.7</v>
      </c>
    </row>
    <row r="665" spans="16381:16382" x14ac:dyDescent="0.25">
      <c r="XFA665" s="40">
        <v>651</v>
      </c>
      <c r="XFB665" s="40">
        <v>0.7</v>
      </c>
    </row>
    <row r="666" spans="16381:16382" x14ac:dyDescent="0.25">
      <c r="XFA666" s="40">
        <v>652</v>
      </c>
      <c r="XFB666" s="40">
        <v>0.7</v>
      </c>
    </row>
    <row r="667" spans="16381:16382" x14ac:dyDescent="0.25">
      <c r="XFA667" s="40">
        <v>653</v>
      </c>
      <c r="XFB667" s="40">
        <v>0.7</v>
      </c>
    </row>
    <row r="668" spans="16381:16382" x14ac:dyDescent="0.25">
      <c r="XFA668" s="40">
        <v>654</v>
      </c>
      <c r="XFB668" s="40">
        <v>0.7</v>
      </c>
    </row>
    <row r="669" spans="16381:16382" x14ac:dyDescent="0.25">
      <c r="XFA669" s="40">
        <v>655</v>
      </c>
      <c r="XFB669" s="40">
        <v>0.7</v>
      </c>
    </row>
    <row r="670" spans="16381:16382" x14ac:dyDescent="0.25">
      <c r="XFA670" s="40">
        <v>656</v>
      </c>
      <c r="XFB670" s="40">
        <v>0.7</v>
      </c>
    </row>
    <row r="671" spans="16381:16382" x14ac:dyDescent="0.25">
      <c r="XFA671" s="40">
        <v>657</v>
      </c>
      <c r="XFB671" s="40">
        <v>0.7</v>
      </c>
    </row>
    <row r="672" spans="16381:16382" x14ac:dyDescent="0.25">
      <c r="XFA672" s="40">
        <v>658</v>
      </c>
      <c r="XFB672" s="40">
        <v>0.7</v>
      </c>
    </row>
    <row r="673" spans="16381:16382" x14ac:dyDescent="0.25">
      <c r="XFA673" s="40">
        <v>659</v>
      </c>
      <c r="XFB673" s="40">
        <v>0.7</v>
      </c>
    </row>
    <row r="674" spans="16381:16382" x14ac:dyDescent="0.25">
      <c r="XFA674" s="40">
        <v>660</v>
      </c>
      <c r="XFB674" s="40">
        <v>0.7</v>
      </c>
    </row>
    <row r="675" spans="16381:16382" x14ac:dyDescent="0.25">
      <c r="XFA675" s="40">
        <v>661</v>
      </c>
      <c r="XFB675" s="40">
        <v>0.7</v>
      </c>
    </row>
    <row r="676" spans="16381:16382" x14ac:dyDescent="0.25">
      <c r="XFA676" s="40">
        <v>662</v>
      </c>
      <c r="XFB676" s="40">
        <v>0.7</v>
      </c>
    </row>
    <row r="677" spans="16381:16382" x14ac:dyDescent="0.25">
      <c r="XFA677" s="40">
        <v>663</v>
      </c>
      <c r="XFB677" s="40">
        <v>0.7</v>
      </c>
    </row>
    <row r="678" spans="16381:16382" x14ac:dyDescent="0.25">
      <c r="XFA678" s="40">
        <v>664</v>
      </c>
      <c r="XFB678" s="40">
        <v>0.7</v>
      </c>
    </row>
    <row r="679" spans="16381:16382" x14ac:dyDescent="0.25">
      <c r="XFA679" s="40">
        <v>665</v>
      </c>
      <c r="XFB679" s="40">
        <v>0.7</v>
      </c>
    </row>
    <row r="680" spans="16381:16382" x14ac:dyDescent="0.25">
      <c r="XFA680" s="40">
        <v>666</v>
      </c>
      <c r="XFB680" s="40">
        <v>0.7</v>
      </c>
    </row>
    <row r="681" spans="16381:16382" x14ac:dyDescent="0.25">
      <c r="XFA681" s="40">
        <v>667</v>
      </c>
      <c r="XFB681" s="40">
        <v>0.7</v>
      </c>
    </row>
    <row r="682" spans="16381:16382" x14ac:dyDescent="0.25">
      <c r="XFA682" s="40">
        <v>668</v>
      </c>
      <c r="XFB682" s="40">
        <v>0.7</v>
      </c>
    </row>
    <row r="683" spans="16381:16382" x14ac:dyDescent="0.25">
      <c r="XFA683" s="40">
        <v>669</v>
      </c>
      <c r="XFB683" s="40">
        <v>0.7</v>
      </c>
    </row>
    <row r="684" spans="16381:16382" x14ac:dyDescent="0.25">
      <c r="XFA684" s="40">
        <v>670</v>
      </c>
      <c r="XFB684" s="40">
        <v>0.7</v>
      </c>
    </row>
    <row r="685" spans="16381:16382" x14ac:dyDescent="0.25">
      <c r="XFA685" s="40">
        <v>671</v>
      </c>
      <c r="XFB685" s="40">
        <v>0.7</v>
      </c>
    </row>
    <row r="686" spans="16381:16382" x14ac:dyDescent="0.25">
      <c r="XFA686" s="40">
        <v>672</v>
      </c>
      <c r="XFB686" s="40">
        <v>0.7</v>
      </c>
    </row>
    <row r="687" spans="16381:16382" x14ac:dyDescent="0.25">
      <c r="XFA687" s="40">
        <v>673</v>
      </c>
      <c r="XFB687" s="40">
        <v>0.7</v>
      </c>
    </row>
    <row r="688" spans="16381:16382" x14ac:dyDescent="0.25">
      <c r="XFA688" s="40">
        <v>674</v>
      </c>
      <c r="XFB688" s="40">
        <v>0.7</v>
      </c>
    </row>
    <row r="689" spans="16381:16382" x14ac:dyDescent="0.25">
      <c r="XFA689" s="40">
        <v>675</v>
      </c>
      <c r="XFB689" s="40">
        <v>0.7</v>
      </c>
    </row>
    <row r="690" spans="16381:16382" x14ac:dyDescent="0.25">
      <c r="XFA690" s="40">
        <v>676</v>
      </c>
      <c r="XFB690" s="40">
        <v>0.7</v>
      </c>
    </row>
    <row r="691" spans="16381:16382" x14ac:dyDescent="0.25">
      <c r="XFA691" s="40">
        <v>677</v>
      </c>
      <c r="XFB691" s="40">
        <v>0.7</v>
      </c>
    </row>
    <row r="692" spans="16381:16382" x14ac:dyDescent="0.25">
      <c r="XFA692" s="40">
        <v>678</v>
      </c>
      <c r="XFB692" s="40">
        <v>0.7</v>
      </c>
    </row>
    <row r="693" spans="16381:16382" x14ac:dyDescent="0.25">
      <c r="XFA693" s="40">
        <v>679</v>
      </c>
      <c r="XFB693" s="40">
        <v>0.7</v>
      </c>
    </row>
    <row r="694" spans="16381:16382" x14ac:dyDescent="0.25">
      <c r="XFA694" s="40">
        <v>680</v>
      </c>
      <c r="XFB694" s="40">
        <v>0.7</v>
      </c>
    </row>
    <row r="695" spans="16381:16382" x14ac:dyDescent="0.25">
      <c r="XFA695" s="40">
        <v>681</v>
      </c>
      <c r="XFB695" s="40">
        <v>0.7</v>
      </c>
    </row>
    <row r="696" spans="16381:16382" x14ac:dyDescent="0.25">
      <c r="XFA696" s="40">
        <v>682</v>
      </c>
      <c r="XFB696" s="40">
        <v>0.7</v>
      </c>
    </row>
    <row r="697" spans="16381:16382" x14ac:dyDescent="0.25">
      <c r="XFA697" s="40">
        <v>683</v>
      </c>
      <c r="XFB697" s="40">
        <v>0.7</v>
      </c>
    </row>
    <row r="698" spans="16381:16382" x14ac:dyDescent="0.25">
      <c r="XFA698" s="40">
        <v>684</v>
      </c>
      <c r="XFB698" s="40">
        <v>0.7</v>
      </c>
    </row>
    <row r="699" spans="16381:16382" x14ac:dyDescent="0.25">
      <c r="XFA699" s="40">
        <v>685</v>
      </c>
      <c r="XFB699" s="40">
        <v>0.7</v>
      </c>
    </row>
    <row r="700" spans="16381:16382" x14ac:dyDescent="0.25">
      <c r="XFA700" s="40">
        <v>686</v>
      </c>
      <c r="XFB700" s="40">
        <v>0.7</v>
      </c>
    </row>
    <row r="701" spans="16381:16382" x14ac:dyDescent="0.25">
      <c r="XFA701" s="40">
        <v>687</v>
      </c>
      <c r="XFB701" s="40">
        <v>0.7</v>
      </c>
    </row>
    <row r="702" spans="16381:16382" x14ac:dyDescent="0.25">
      <c r="XFA702" s="40">
        <v>688</v>
      </c>
      <c r="XFB702" s="40">
        <v>0.7</v>
      </c>
    </row>
    <row r="703" spans="16381:16382" x14ac:dyDescent="0.25">
      <c r="XFA703" s="40">
        <v>689</v>
      </c>
      <c r="XFB703" s="40">
        <v>0.7</v>
      </c>
    </row>
    <row r="704" spans="16381:16382" x14ac:dyDescent="0.25">
      <c r="XFA704" s="40">
        <v>690</v>
      </c>
      <c r="XFB704" s="40">
        <v>0.7</v>
      </c>
    </row>
    <row r="705" spans="16381:16382" x14ac:dyDescent="0.25">
      <c r="XFA705" s="40">
        <v>691</v>
      </c>
      <c r="XFB705" s="40">
        <v>0.7</v>
      </c>
    </row>
    <row r="706" spans="16381:16382" x14ac:dyDescent="0.25">
      <c r="XFA706" s="40">
        <v>692</v>
      </c>
      <c r="XFB706" s="40">
        <v>0.7</v>
      </c>
    </row>
    <row r="707" spans="16381:16382" x14ac:dyDescent="0.25">
      <c r="XFA707" s="40">
        <v>693</v>
      </c>
      <c r="XFB707" s="40">
        <v>0.7</v>
      </c>
    </row>
    <row r="708" spans="16381:16382" x14ac:dyDescent="0.25">
      <c r="XFA708" s="40">
        <v>694</v>
      </c>
      <c r="XFB708" s="40">
        <v>0.7</v>
      </c>
    </row>
    <row r="709" spans="16381:16382" x14ac:dyDescent="0.25">
      <c r="XFA709" s="40">
        <v>695</v>
      </c>
      <c r="XFB709" s="40">
        <v>0.7</v>
      </c>
    </row>
    <row r="710" spans="16381:16382" x14ac:dyDescent="0.25">
      <c r="XFA710" s="40">
        <v>696</v>
      </c>
      <c r="XFB710" s="40">
        <v>0.7</v>
      </c>
    </row>
    <row r="711" spans="16381:16382" x14ac:dyDescent="0.25">
      <c r="XFA711" s="40">
        <v>697</v>
      </c>
      <c r="XFB711" s="40">
        <v>0.7</v>
      </c>
    </row>
    <row r="712" spans="16381:16382" x14ac:dyDescent="0.25">
      <c r="XFA712" s="40">
        <v>698</v>
      </c>
      <c r="XFB712" s="40">
        <v>0.7</v>
      </c>
    </row>
    <row r="713" spans="16381:16382" x14ac:dyDescent="0.25">
      <c r="XFA713" s="40">
        <v>699</v>
      </c>
      <c r="XFB713" s="40">
        <v>0.7</v>
      </c>
    </row>
    <row r="714" spans="16381:16382" x14ac:dyDescent="0.25">
      <c r="XFA714" s="40">
        <v>700</v>
      </c>
      <c r="XFB714" s="40">
        <v>0.7</v>
      </c>
    </row>
    <row r="715" spans="16381:16382" x14ac:dyDescent="0.25">
      <c r="XFA715" s="40">
        <v>701</v>
      </c>
      <c r="XFB715" s="40">
        <v>0.7</v>
      </c>
    </row>
    <row r="716" spans="16381:16382" x14ac:dyDescent="0.25">
      <c r="XFA716" s="40">
        <v>702</v>
      </c>
      <c r="XFB716" s="40">
        <v>0.7</v>
      </c>
    </row>
    <row r="717" spans="16381:16382" x14ac:dyDescent="0.25">
      <c r="XFA717" s="40">
        <v>703</v>
      </c>
      <c r="XFB717" s="40">
        <v>0.7</v>
      </c>
    </row>
    <row r="718" spans="16381:16382" x14ac:dyDescent="0.25">
      <c r="XFA718" s="40">
        <v>704</v>
      </c>
      <c r="XFB718" s="40">
        <v>0.7</v>
      </c>
    </row>
    <row r="719" spans="16381:16382" x14ac:dyDescent="0.25">
      <c r="XFA719" s="40">
        <v>705</v>
      </c>
      <c r="XFB719" s="40">
        <v>0.7</v>
      </c>
    </row>
    <row r="720" spans="16381:16382" x14ac:dyDescent="0.25">
      <c r="XFA720" s="40">
        <v>706</v>
      </c>
      <c r="XFB720" s="40">
        <v>0.7</v>
      </c>
    </row>
    <row r="721" spans="16381:16382" x14ac:dyDescent="0.25">
      <c r="XFA721" s="40">
        <v>707</v>
      </c>
      <c r="XFB721" s="40">
        <v>0.7</v>
      </c>
    </row>
    <row r="722" spans="16381:16382" x14ac:dyDescent="0.25">
      <c r="XFA722" s="40">
        <v>708</v>
      </c>
      <c r="XFB722" s="40">
        <v>0.7</v>
      </c>
    </row>
    <row r="723" spans="16381:16382" x14ac:dyDescent="0.25">
      <c r="XFA723" s="40">
        <v>709</v>
      </c>
      <c r="XFB723" s="40">
        <v>0.7</v>
      </c>
    </row>
    <row r="724" spans="16381:16382" x14ac:dyDescent="0.25">
      <c r="XFA724" s="40">
        <v>710</v>
      </c>
      <c r="XFB724" s="40">
        <v>0.7</v>
      </c>
    </row>
    <row r="725" spans="16381:16382" x14ac:dyDescent="0.25">
      <c r="XFA725" s="40">
        <v>711</v>
      </c>
      <c r="XFB725" s="40">
        <v>0.7</v>
      </c>
    </row>
    <row r="726" spans="16381:16382" x14ac:dyDescent="0.25">
      <c r="XFA726" s="40">
        <v>712</v>
      </c>
      <c r="XFB726" s="40">
        <v>0.7</v>
      </c>
    </row>
    <row r="727" spans="16381:16382" x14ac:dyDescent="0.25">
      <c r="XFA727" s="40">
        <v>713</v>
      </c>
      <c r="XFB727" s="40">
        <v>0.7</v>
      </c>
    </row>
    <row r="728" spans="16381:16382" x14ac:dyDescent="0.25">
      <c r="XFA728" s="40">
        <v>714</v>
      </c>
      <c r="XFB728" s="40">
        <v>0.7</v>
      </c>
    </row>
    <row r="729" spans="16381:16382" x14ac:dyDescent="0.25">
      <c r="XFA729" s="40">
        <v>715</v>
      </c>
      <c r="XFB729" s="40">
        <v>0.7</v>
      </c>
    </row>
    <row r="730" spans="16381:16382" x14ac:dyDescent="0.25">
      <c r="XFA730" s="40">
        <v>716</v>
      </c>
      <c r="XFB730" s="40">
        <v>0.7</v>
      </c>
    </row>
    <row r="731" spans="16381:16382" x14ac:dyDescent="0.25">
      <c r="XFA731" s="40">
        <v>717</v>
      </c>
      <c r="XFB731" s="40">
        <v>0.7</v>
      </c>
    </row>
    <row r="732" spans="16381:16382" x14ac:dyDescent="0.25">
      <c r="XFA732" s="40">
        <v>718</v>
      </c>
      <c r="XFB732" s="40">
        <v>0.7</v>
      </c>
    </row>
    <row r="733" spans="16381:16382" x14ac:dyDescent="0.25">
      <c r="XFA733" s="40">
        <v>719</v>
      </c>
      <c r="XFB733" s="40">
        <v>0.7</v>
      </c>
    </row>
    <row r="734" spans="16381:16382" x14ac:dyDescent="0.25">
      <c r="XFA734" s="40">
        <v>720</v>
      </c>
      <c r="XFB734" s="40">
        <v>0.7</v>
      </c>
    </row>
    <row r="735" spans="16381:16382" x14ac:dyDescent="0.25">
      <c r="XFA735" s="40">
        <v>721</v>
      </c>
      <c r="XFB735" s="40">
        <v>0.7</v>
      </c>
    </row>
    <row r="736" spans="16381:16382" x14ac:dyDescent="0.25">
      <c r="XFA736" s="40">
        <v>722</v>
      </c>
      <c r="XFB736" s="40">
        <v>0.7</v>
      </c>
    </row>
    <row r="737" spans="16381:16382" x14ac:dyDescent="0.25">
      <c r="XFA737" s="40">
        <v>723</v>
      </c>
      <c r="XFB737" s="40">
        <v>0.7</v>
      </c>
    </row>
    <row r="738" spans="16381:16382" x14ac:dyDescent="0.25">
      <c r="XFA738" s="40">
        <v>724</v>
      </c>
      <c r="XFB738" s="40">
        <v>0.7</v>
      </c>
    </row>
    <row r="739" spans="16381:16382" x14ac:dyDescent="0.25">
      <c r="XFA739" s="40">
        <v>725</v>
      </c>
      <c r="XFB739" s="40">
        <v>0.7</v>
      </c>
    </row>
    <row r="740" spans="16381:16382" x14ac:dyDescent="0.25">
      <c r="XFA740" s="40">
        <v>726</v>
      </c>
      <c r="XFB740" s="40">
        <v>0.7</v>
      </c>
    </row>
    <row r="741" spans="16381:16382" x14ac:dyDescent="0.25">
      <c r="XFA741" s="40">
        <v>727</v>
      </c>
      <c r="XFB741" s="40">
        <v>0.7</v>
      </c>
    </row>
    <row r="742" spans="16381:16382" x14ac:dyDescent="0.25">
      <c r="XFA742" s="40">
        <v>728</v>
      </c>
      <c r="XFB742" s="40">
        <v>0.7</v>
      </c>
    </row>
    <row r="743" spans="16381:16382" x14ac:dyDescent="0.25">
      <c r="XFA743" s="40">
        <v>729</v>
      </c>
      <c r="XFB743" s="40">
        <v>0.7</v>
      </c>
    </row>
    <row r="744" spans="16381:16382" x14ac:dyDescent="0.25">
      <c r="XFA744" s="40">
        <v>730</v>
      </c>
      <c r="XFB744" s="40">
        <v>0.7</v>
      </c>
    </row>
    <row r="745" spans="16381:16382" x14ac:dyDescent="0.25">
      <c r="XFA745" s="40">
        <v>731</v>
      </c>
      <c r="XFB745" s="40">
        <v>0.7</v>
      </c>
    </row>
    <row r="746" spans="16381:16382" x14ac:dyDescent="0.25">
      <c r="XFA746" s="40">
        <v>732</v>
      </c>
      <c r="XFB746" s="40">
        <v>0.7</v>
      </c>
    </row>
    <row r="747" spans="16381:16382" x14ac:dyDescent="0.25">
      <c r="XFA747" s="40">
        <v>733</v>
      </c>
      <c r="XFB747" s="40">
        <v>0.7</v>
      </c>
    </row>
    <row r="748" spans="16381:16382" x14ac:dyDescent="0.25">
      <c r="XFA748" s="40">
        <v>734</v>
      </c>
      <c r="XFB748" s="40">
        <v>0.7</v>
      </c>
    </row>
    <row r="749" spans="16381:16382" x14ac:dyDescent="0.25">
      <c r="XFA749" s="40">
        <v>735</v>
      </c>
      <c r="XFB749" s="40">
        <v>0.7</v>
      </c>
    </row>
    <row r="750" spans="16381:16382" x14ac:dyDescent="0.25">
      <c r="XFA750" s="40">
        <v>736</v>
      </c>
      <c r="XFB750" s="40">
        <v>0.7</v>
      </c>
    </row>
    <row r="751" spans="16381:16382" x14ac:dyDescent="0.25">
      <c r="XFA751" s="40">
        <v>737</v>
      </c>
      <c r="XFB751" s="40">
        <v>0.7</v>
      </c>
    </row>
    <row r="752" spans="16381:16382" x14ac:dyDescent="0.25">
      <c r="XFA752" s="40">
        <v>738</v>
      </c>
      <c r="XFB752" s="40">
        <v>0.7</v>
      </c>
    </row>
    <row r="753" spans="16381:16382" x14ac:dyDescent="0.25">
      <c r="XFA753" s="40">
        <v>739</v>
      </c>
      <c r="XFB753" s="40">
        <v>0.7</v>
      </c>
    </row>
    <row r="754" spans="16381:16382" x14ac:dyDescent="0.25">
      <c r="XFA754" s="40">
        <v>740</v>
      </c>
      <c r="XFB754" s="40">
        <v>0.7</v>
      </c>
    </row>
    <row r="755" spans="16381:16382" x14ac:dyDescent="0.25">
      <c r="XFA755" s="40">
        <v>741</v>
      </c>
      <c r="XFB755" s="40">
        <v>0.7</v>
      </c>
    </row>
    <row r="756" spans="16381:16382" x14ac:dyDescent="0.25">
      <c r="XFA756" s="40">
        <v>742</v>
      </c>
      <c r="XFB756" s="40">
        <v>0.7</v>
      </c>
    </row>
    <row r="757" spans="16381:16382" x14ac:dyDescent="0.25">
      <c r="XFA757" s="40">
        <v>743</v>
      </c>
      <c r="XFB757" s="40">
        <v>0.7</v>
      </c>
    </row>
    <row r="758" spans="16381:16382" x14ac:dyDescent="0.25">
      <c r="XFA758" s="40">
        <v>744</v>
      </c>
      <c r="XFB758" s="40">
        <v>0.7</v>
      </c>
    </row>
    <row r="759" spans="16381:16382" x14ac:dyDescent="0.25">
      <c r="XFA759" s="40">
        <v>745</v>
      </c>
      <c r="XFB759" s="40">
        <v>0.7</v>
      </c>
    </row>
    <row r="760" spans="16381:16382" x14ac:dyDescent="0.25">
      <c r="XFA760" s="40">
        <v>746</v>
      </c>
      <c r="XFB760" s="40">
        <v>0.7</v>
      </c>
    </row>
    <row r="761" spans="16381:16382" x14ac:dyDescent="0.25">
      <c r="XFA761" s="40">
        <v>747</v>
      </c>
      <c r="XFB761" s="40">
        <v>0.7</v>
      </c>
    </row>
    <row r="762" spans="16381:16382" x14ac:dyDescent="0.25">
      <c r="XFA762" s="40">
        <v>748</v>
      </c>
      <c r="XFB762" s="40">
        <v>0.7</v>
      </c>
    </row>
    <row r="763" spans="16381:16382" x14ac:dyDescent="0.25">
      <c r="XFA763" s="40">
        <v>749</v>
      </c>
      <c r="XFB763" s="40">
        <v>0.7</v>
      </c>
    </row>
    <row r="764" spans="16381:16382" x14ac:dyDescent="0.25">
      <c r="XFA764" s="40">
        <v>750</v>
      </c>
      <c r="XFB764" s="40">
        <v>0.7</v>
      </c>
    </row>
    <row r="765" spans="16381:16382" x14ac:dyDescent="0.25">
      <c r="XFA765" s="40">
        <v>751</v>
      </c>
      <c r="XFB765" s="40">
        <v>0.7</v>
      </c>
    </row>
    <row r="766" spans="16381:16382" x14ac:dyDescent="0.25">
      <c r="XFA766" s="40">
        <v>752</v>
      </c>
      <c r="XFB766" s="40">
        <v>0.7</v>
      </c>
    </row>
    <row r="767" spans="16381:16382" x14ac:dyDescent="0.25">
      <c r="XFA767" s="40">
        <v>753</v>
      </c>
      <c r="XFB767" s="40">
        <v>0.7</v>
      </c>
    </row>
    <row r="768" spans="16381:16382" x14ac:dyDescent="0.25">
      <c r="XFA768" s="40">
        <v>754</v>
      </c>
      <c r="XFB768" s="40">
        <v>0.7</v>
      </c>
    </row>
    <row r="769" spans="16381:16382" x14ac:dyDescent="0.25">
      <c r="XFA769" s="40">
        <v>755</v>
      </c>
      <c r="XFB769" s="40">
        <v>0.7</v>
      </c>
    </row>
    <row r="770" spans="16381:16382" x14ac:dyDescent="0.25">
      <c r="XFA770" s="40">
        <v>756</v>
      </c>
      <c r="XFB770" s="40">
        <v>0.7</v>
      </c>
    </row>
    <row r="771" spans="16381:16382" x14ac:dyDescent="0.25">
      <c r="XFA771" s="40">
        <v>757</v>
      </c>
      <c r="XFB771" s="40">
        <v>0.7</v>
      </c>
    </row>
    <row r="772" spans="16381:16382" x14ac:dyDescent="0.25">
      <c r="XFA772" s="40">
        <v>758</v>
      </c>
      <c r="XFB772" s="40">
        <v>0.7</v>
      </c>
    </row>
    <row r="773" spans="16381:16382" x14ac:dyDescent="0.25">
      <c r="XFA773" s="40">
        <v>759</v>
      </c>
      <c r="XFB773" s="40">
        <v>0.7</v>
      </c>
    </row>
    <row r="774" spans="16381:16382" x14ac:dyDescent="0.25">
      <c r="XFA774" s="40">
        <v>760</v>
      </c>
      <c r="XFB774" s="40">
        <v>0.7</v>
      </c>
    </row>
    <row r="775" spans="16381:16382" x14ac:dyDescent="0.25">
      <c r="XFA775" s="40">
        <v>761</v>
      </c>
      <c r="XFB775" s="40">
        <v>0.7</v>
      </c>
    </row>
    <row r="776" spans="16381:16382" x14ac:dyDescent="0.25">
      <c r="XFA776" s="40">
        <v>762</v>
      </c>
      <c r="XFB776" s="40">
        <v>0.7</v>
      </c>
    </row>
    <row r="777" spans="16381:16382" x14ac:dyDescent="0.25">
      <c r="XFA777" s="40">
        <v>763</v>
      </c>
      <c r="XFB777" s="40">
        <v>0.7</v>
      </c>
    </row>
    <row r="778" spans="16381:16382" x14ac:dyDescent="0.25">
      <c r="XFA778" s="40">
        <v>764</v>
      </c>
      <c r="XFB778" s="40">
        <v>0.7</v>
      </c>
    </row>
    <row r="779" spans="16381:16382" x14ac:dyDescent="0.25">
      <c r="XFA779" s="40">
        <v>765</v>
      </c>
      <c r="XFB779" s="40">
        <v>0.7</v>
      </c>
    </row>
    <row r="780" spans="16381:16382" x14ac:dyDescent="0.25">
      <c r="XFA780" s="40">
        <v>766</v>
      </c>
      <c r="XFB780" s="40">
        <v>0.7</v>
      </c>
    </row>
    <row r="781" spans="16381:16382" x14ac:dyDescent="0.25">
      <c r="XFA781" s="40">
        <v>767</v>
      </c>
      <c r="XFB781" s="40">
        <v>0.7</v>
      </c>
    </row>
    <row r="782" spans="16381:16382" x14ac:dyDescent="0.25">
      <c r="XFA782" s="40">
        <v>768</v>
      </c>
      <c r="XFB782" s="40">
        <v>0.7</v>
      </c>
    </row>
    <row r="783" spans="16381:16382" x14ac:dyDescent="0.25">
      <c r="XFA783" s="40">
        <v>769</v>
      </c>
      <c r="XFB783" s="40">
        <v>0.7</v>
      </c>
    </row>
    <row r="784" spans="16381:16382" x14ac:dyDescent="0.25">
      <c r="XFA784" s="40">
        <v>770</v>
      </c>
      <c r="XFB784" s="40">
        <v>0.7</v>
      </c>
    </row>
    <row r="785" spans="16381:16382" x14ac:dyDescent="0.25">
      <c r="XFA785" s="40">
        <v>771</v>
      </c>
      <c r="XFB785" s="40">
        <v>0.7</v>
      </c>
    </row>
    <row r="786" spans="16381:16382" x14ac:dyDescent="0.25">
      <c r="XFA786" s="40">
        <v>772</v>
      </c>
      <c r="XFB786" s="40">
        <v>0.7</v>
      </c>
    </row>
    <row r="787" spans="16381:16382" x14ac:dyDescent="0.25">
      <c r="XFA787" s="40">
        <v>773</v>
      </c>
      <c r="XFB787" s="40">
        <v>0.7</v>
      </c>
    </row>
    <row r="788" spans="16381:16382" x14ac:dyDescent="0.25">
      <c r="XFA788" s="40">
        <v>774</v>
      </c>
      <c r="XFB788" s="40">
        <v>0.7</v>
      </c>
    </row>
    <row r="789" spans="16381:16382" x14ac:dyDescent="0.25">
      <c r="XFA789" s="40">
        <v>775</v>
      </c>
      <c r="XFB789" s="40">
        <v>0.7</v>
      </c>
    </row>
    <row r="790" spans="16381:16382" x14ac:dyDescent="0.25">
      <c r="XFA790" s="40">
        <v>776</v>
      </c>
      <c r="XFB790" s="40">
        <v>0.7</v>
      </c>
    </row>
    <row r="791" spans="16381:16382" x14ac:dyDescent="0.25">
      <c r="XFA791" s="40">
        <v>777</v>
      </c>
      <c r="XFB791" s="40">
        <v>0.7</v>
      </c>
    </row>
    <row r="792" spans="16381:16382" x14ac:dyDescent="0.25">
      <c r="XFA792" s="40">
        <v>778</v>
      </c>
      <c r="XFB792" s="40">
        <v>0.7</v>
      </c>
    </row>
    <row r="793" spans="16381:16382" x14ac:dyDescent="0.25">
      <c r="XFA793" s="40">
        <v>779</v>
      </c>
      <c r="XFB793" s="40">
        <v>0.7</v>
      </c>
    </row>
    <row r="794" spans="16381:16382" x14ac:dyDescent="0.25">
      <c r="XFA794" s="40">
        <v>780</v>
      </c>
      <c r="XFB794" s="40">
        <v>0.7</v>
      </c>
    </row>
    <row r="795" spans="16381:16382" x14ac:dyDescent="0.25">
      <c r="XFA795" s="40">
        <v>781</v>
      </c>
      <c r="XFB795" s="40">
        <v>0.7</v>
      </c>
    </row>
    <row r="796" spans="16381:16382" x14ac:dyDescent="0.25">
      <c r="XFA796" s="40">
        <v>782</v>
      </c>
      <c r="XFB796" s="40">
        <v>0.7</v>
      </c>
    </row>
    <row r="797" spans="16381:16382" x14ac:dyDescent="0.25">
      <c r="XFA797" s="40">
        <v>783</v>
      </c>
      <c r="XFB797" s="40">
        <v>0.7</v>
      </c>
    </row>
    <row r="798" spans="16381:16382" x14ac:dyDescent="0.25">
      <c r="XFA798" s="40">
        <v>784</v>
      </c>
      <c r="XFB798" s="40">
        <v>0.7</v>
      </c>
    </row>
    <row r="799" spans="16381:16382" x14ac:dyDescent="0.25">
      <c r="XFA799" s="40">
        <v>785</v>
      </c>
      <c r="XFB799" s="40">
        <v>0.7</v>
      </c>
    </row>
    <row r="800" spans="16381:16382" x14ac:dyDescent="0.25">
      <c r="XFA800" s="40">
        <v>786</v>
      </c>
      <c r="XFB800" s="40">
        <v>0.7</v>
      </c>
    </row>
    <row r="801" spans="16381:16382" x14ac:dyDescent="0.25">
      <c r="XFA801" s="40">
        <v>787</v>
      </c>
      <c r="XFB801" s="40">
        <v>0.7</v>
      </c>
    </row>
    <row r="802" spans="16381:16382" x14ac:dyDescent="0.25">
      <c r="XFA802" s="40">
        <v>788</v>
      </c>
      <c r="XFB802" s="40">
        <v>0.7</v>
      </c>
    </row>
    <row r="803" spans="16381:16382" x14ac:dyDescent="0.25">
      <c r="XFA803" s="40">
        <v>789</v>
      </c>
      <c r="XFB803" s="40">
        <v>0.7</v>
      </c>
    </row>
    <row r="804" spans="16381:16382" x14ac:dyDescent="0.25">
      <c r="XFA804" s="40">
        <v>790</v>
      </c>
      <c r="XFB804" s="40">
        <v>0.7</v>
      </c>
    </row>
    <row r="805" spans="16381:16382" x14ac:dyDescent="0.25">
      <c r="XFA805" s="40">
        <v>791</v>
      </c>
      <c r="XFB805" s="40">
        <v>0.7</v>
      </c>
    </row>
    <row r="806" spans="16381:16382" x14ac:dyDescent="0.25">
      <c r="XFA806" s="40">
        <v>792</v>
      </c>
      <c r="XFB806" s="40">
        <v>0.7</v>
      </c>
    </row>
    <row r="807" spans="16381:16382" x14ac:dyDescent="0.25">
      <c r="XFA807" s="40">
        <v>793</v>
      </c>
      <c r="XFB807" s="40">
        <v>0.7</v>
      </c>
    </row>
    <row r="808" spans="16381:16382" x14ac:dyDescent="0.25">
      <c r="XFA808" s="40">
        <v>794</v>
      </c>
      <c r="XFB808" s="40">
        <v>0.7</v>
      </c>
    </row>
    <row r="809" spans="16381:16382" x14ac:dyDescent="0.25">
      <c r="XFA809" s="40">
        <v>795</v>
      </c>
      <c r="XFB809" s="40">
        <v>0.7</v>
      </c>
    </row>
    <row r="810" spans="16381:16382" x14ac:dyDescent="0.25">
      <c r="XFA810" s="40">
        <v>796</v>
      </c>
      <c r="XFB810" s="40">
        <v>0.7</v>
      </c>
    </row>
    <row r="811" spans="16381:16382" x14ac:dyDescent="0.25">
      <c r="XFA811" s="40">
        <v>797</v>
      </c>
      <c r="XFB811" s="40">
        <v>0.7</v>
      </c>
    </row>
    <row r="812" spans="16381:16382" x14ac:dyDescent="0.25">
      <c r="XFA812" s="40">
        <v>798</v>
      </c>
      <c r="XFB812" s="40">
        <v>0.7</v>
      </c>
    </row>
    <row r="813" spans="16381:16382" x14ac:dyDescent="0.25">
      <c r="XFA813" s="40">
        <v>799</v>
      </c>
      <c r="XFB813" s="40">
        <v>0.7</v>
      </c>
    </row>
    <row r="814" spans="16381:16382" x14ac:dyDescent="0.25">
      <c r="XFA814" s="40">
        <v>800</v>
      </c>
      <c r="XFB814" s="40">
        <v>0.7</v>
      </c>
    </row>
    <row r="815" spans="16381:16382" x14ac:dyDescent="0.25">
      <c r="XFA815" s="40">
        <v>801</v>
      </c>
      <c r="XFB815" s="40">
        <v>0.7</v>
      </c>
    </row>
    <row r="816" spans="16381:16382" x14ac:dyDescent="0.25">
      <c r="XFA816" s="40">
        <v>802</v>
      </c>
      <c r="XFB816" s="40">
        <v>0.7</v>
      </c>
    </row>
    <row r="817" spans="16381:16382" x14ac:dyDescent="0.25">
      <c r="XFA817" s="40">
        <v>803</v>
      </c>
      <c r="XFB817" s="40">
        <v>0.7</v>
      </c>
    </row>
    <row r="818" spans="16381:16382" x14ac:dyDescent="0.25">
      <c r="XFA818" s="40">
        <v>804</v>
      </c>
      <c r="XFB818" s="40">
        <v>0.7</v>
      </c>
    </row>
    <row r="819" spans="16381:16382" x14ac:dyDescent="0.25">
      <c r="XFA819" s="40">
        <v>805</v>
      </c>
      <c r="XFB819" s="40">
        <v>0.7</v>
      </c>
    </row>
    <row r="820" spans="16381:16382" x14ac:dyDescent="0.25">
      <c r="XFA820" s="40">
        <v>806</v>
      </c>
      <c r="XFB820" s="40">
        <v>0.7</v>
      </c>
    </row>
    <row r="821" spans="16381:16382" x14ac:dyDescent="0.25">
      <c r="XFA821" s="40">
        <v>807</v>
      </c>
      <c r="XFB821" s="40">
        <v>0.7</v>
      </c>
    </row>
    <row r="822" spans="16381:16382" x14ac:dyDescent="0.25">
      <c r="XFA822" s="40">
        <v>808</v>
      </c>
      <c r="XFB822" s="40">
        <v>0.7</v>
      </c>
    </row>
    <row r="823" spans="16381:16382" x14ac:dyDescent="0.25">
      <c r="XFA823" s="40">
        <v>809</v>
      </c>
      <c r="XFB823" s="40">
        <v>0.7</v>
      </c>
    </row>
    <row r="824" spans="16381:16382" x14ac:dyDescent="0.25">
      <c r="XFA824" s="40">
        <v>810</v>
      </c>
      <c r="XFB824" s="40">
        <v>0.7</v>
      </c>
    </row>
    <row r="825" spans="16381:16382" x14ac:dyDescent="0.25">
      <c r="XFA825" s="40">
        <v>811</v>
      </c>
      <c r="XFB825" s="40">
        <v>0.7</v>
      </c>
    </row>
    <row r="826" spans="16381:16382" x14ac:dyDescent="0.25">
      <c r="XFA826" s="40">
        <v>812</v>
      </c>
      <c r="XFB826" s="40">
        <v>0.7</v>
      </c>
    </row>
    <row r="827" spans="16381:16382" x14ac:dyDescent="0.25">
      <c r="XFA827" s="40">
        <v>813</v>
      </c>
      <c r="XFB827" s="40">
        <v>0.7</v>
      </c>
    </row>
    <row r="828" spans="16381:16382" x14ac:dyDescent="0.25">
      <c r="XFA828" s="40">
        <v>814</v>
      </c>
      <c r="XFB828" s="40">
        <v>0.7</v>
      </c>
    </row>
    <row r="829" spans="16381:16382" x14ac:dyDescent="0.25">
      <c r="XFA829" s="40">
        <v>815</v>
      </c>
      <c r="XFB829" s="40">
        <v>0.7</v>
      </c>
    </row>
    <row r="830" spans="16381:16382" x14ac:dyDescent="0.25">
      <c r="XFA830" s="40">
        <v>816</v>
      </c>
      <c r="XFB830" s="40">
        <v>0.7</v>
      </c>
    </row>
    <row r="831" spans="16381:16382" x14ac:dyDescent="0.25">
      <c r="XFA831" s="40">
        <v>817</v>
      </c>
      <c r="XFB831" s="40">
        <v>0.7</v>
      </c>
    </row>
    <row r="832" spans="16381:16382" x14ac:dyDescent="0.25">
      <c r="XFA832" s="40">
        <v>818</v>
      </c>
      <c r="XFB832" s="40">
        <v>0.7</v>
      </c>
    </row>
    <row r="833" spans="16381:16382" x14ac:dyDescent="0.25">
      <c r="XFA833" s="40">
        <v>819</v>
      </c>
      <c r="XFB833" s="40">
        <v>0.7</v>
      </c>
    </row>
    <row r="834" spans="16381:16382" x14ac:dyDescent="0.25">
      <c r="XFA834" s="40">
        <v>820</v>
      </c>
      <c r="XFB834" s="40">
        <v>0.7</v>
      </c>
    </row>
    <row r="835" spans="16381:16382" x14ac:dyDescent="0.25">
      <c r="XFA835" s="40">
        <v>821</v>
      </c>
      <c r="XFB835" s="40">
        <v>0.7</v>
      </c>
    </row>
    <row r="836" spans="16381:16382" x14ac:dyDescent="0.25">
      <c r="XFA836" s="40">
        <v>822</v>
      </c>
      <c r="XFB836" s="40">
        <v>0.7</v>
      </c>
    </row>
    <row r="837" spans="16381:16382" x14ac:dyDescent="0.25">
      <c r="XFA837" s="40">
        <v>823</v>
      </c>
      <c r="XFB837" s="40">
        <v>0.7</v>
      </c>
    </row>
    <row r="838" spans="16381:16382" x14ac:dyDescent="0.25">
      <c r="XFA838" s="40">
        <v>824</v>
      </c>
      <c r="XFB838" s="40">
        <v>0.7</v>
      </c>
    </row>
    <row r="839" spans="16381:16382" x14ac:dyDescent="0.25">
      <c r="XFA839" s="40">
        <v>825</v>
      </c>
      <c r="XFB839" s="40">
        <v>0.7</v>
      </c>
    </row>
    <row r="840" spans="16381:16382" x14ac:dyDescent="0.25">
      <c r="XFA840" s="40">
        <v>826</v>
      </c>
      <c r="XFB840" s="40">
        <v>0.7</v>
      </c>
    </row>
    <row r="841" spans="16381:16382" x14ac:dyDescent="0.25">
      <c r="XFA841" s="40">
        <v>827</v>
      </c>
      <c r="XFB841" s="40">
        <v>0.7</v>
      </c>
    </row>
    <row r="842" spans="16381:16382" x14ac:dyDescent="0.25">
      <c r="XFA842" s="40">
        <v>828</v>
      </c>
      <c r="XFB842" s="40">
        <v>0.7</v>
      </c>
    </row>
    <row r="843" spans="16381:16382" x14ac:dyDescent="0.25">
      <c r="XFA843" s="40">
        <v>829</v>
      </c>
      <c r="XFB843" s="40">
        <v>0.7</v>
      </c>
    </row>
    <row r="844" spans="16381:16382" x14ac:dyDescent="0.25">
      <c r="XFA844" s="40">
        <v>830</v>
      </c>
      <c r="XFB844" s="40">
        <v>0.7</v>
      </c>
    </row>
    <row r="845" spans="16381:16382" x14ac:dyDescent="0.25">
      <c r="XFA845" s="40">
        <v>831</v>
      </c>
      <c r="XFB845" s="40">
        <v>0.7</v>
      </c>
    </row>
    <row r="846" spans="16381:16382" x14ac:dyDescent="0.25">
      <c r="XFA846" s="40">
        <v>832</v>
      </c>
      <c r="XFB846" s="40">
        <v>0.7</v>
      </c>
    </row>
    <row r="847" spans="16381:16382" x14ac:dyDescent="0.25">
      <c r="XFA847" s="40">
        <v>833</v>
      </c>
      <c r="XFB847" s="40">
        <v>0.7</v>
      </c>
    </row>
    <row r="848" spans="16381:16382" x14ac:dyDescent="0.25">
      <c r="XFA848" s="40">
        <v>834</v>
      </c>
      <c r="XFB848" s="40">
        <v>0.7</v>
      </c>
    </row>
    <row r="849" spans="16381:16382" x14ac:dyDescent="0.25">
      <c r="XFA849" s="40">
        <v>835</v>
      </c>
      <c r="XFB849" s="40">
        <v>0.7</v>
      </c>
    </row>
    <row r="850" spans="16381:16382" x14ac:dyDescent="0.25">
      <c r="XFA850" s="40">
        <v>836</v>
      </c>
      <c r="XFB850" s="40">
        <v>0.7</v>
      </c>
    </row>
    <row r="851" spans="16381:16382" x14ac:dyDescent="0.25">
      <c r="XFA851" s="40">
        <v>837</v>
      </c>
      <c r="XFB851" s="40">
        <v>0.7</v>
      </c>
    </row>
    <row r="852" spans="16381:16382" x14ac:dyDescent="0.25">
      <c r="XFA852" s="40">
        <v>838</v>
      </c>
      <c r="XFB852" s="40">
        <v>0.7</v>
      </c>
    </row>
    <row r="853" spans="16381:16382" x14ac:dyDescent="0.25">
      <c r="XFA853" s="40">
        <v>839</v>
      </c>
      <c r="XFB853" s="40">
        <v>0.7</v>
      </c>
    </row>
    <row r="854" spans="16381:16382" x14ac:dyDescent="0.25">
      <c r="XFA854" s="40">
        <v>840</v>
      </c>
      <c r="XFB854" s="40">
        <v>0.7</v>
      </c>
    </row>
    <row r="855" spans="16381:16382" x14ac:dyDescent="0.25">
      <c r="XFA855" s="40">
        <v>841</v>
      </c>
      <c r="XFB855" s="40">
        <v>0.7</v>
      </c>
    </row>
    <row r="856" spans="16381:16382" x14ac:dyDescent="0.25">
      <c r="XFA856" s="40">
        <v>842</v>
      </c>
      <c r="XFB856" s="40">
        <v>0.7</v>
      </c>
    </row>
    <row r="857" spans="16381:16382" x14ac:dyDescent="0.25">
      <c r="XFA857" s="40">
        <v>843</v>
      </c>
      <c r="XFB857" s="40">
        <v>0.7</v>
      </c>
    </row>
    <row r="858" spans="16381:16382" x14ac:dyDescent="0.25">
      <c r="XFA858" s="40">
        <v>844</v>
      </c>
      <c r="XFB858" s="40">
        <v>0.7</v>
      </c>
    </row>
    <row r="859" spans="16381:16382" x14ac:dyDescent="0.25">
      <c r="XFA859" s="40">
        <v>845</v>
      </c>
      <c r="XFB859" s="40">
        <v>0.7</v>
      </c>
    </row>
    <row r="860" spans="16381:16382" x14ac:dyDescent="0.25">
      <c r="XFA860" s="40">
        <v>846</v>
      </c>
      <c r="XFB860" s="40">
        <v>0.7</v>
      </c>
    </row>
    <row r="861" spans="16381:16382" x14ac:dyDescent="0.25">
      <c r="XFA861" s="40">
        <v>847</v>
      </c>
      <c r="XFB861" s="40">
        <v>0.7</v>
      </c>
    </row>
    <row r="862" spans="16381:16382" x14ac:dyDescent="0.25">
      <c r="XFA862" s="40">
        <v>848</v>
      </c>
      <c r="XFB862" s="40">
        <v>0.7</v>
      </c>
    </row>
    <row r="863" spans="16381:16382" x14ac:dyDescent="0.25">
      <c r="XFA863" s="40">
        <v>849</v>
      </c>
      <c r="XFB863" s="40">
        <v>0.7</v>
      </c>
    </row>
    <row r="864" spans="16381:16382" x14ac:dyDescent="0.25">
      <c r="XFA864" s="40">
        <v>850</v>
      </c>
      <c r="XFB864" s="40">
        <v>0.7</v>
      </c>
    </row>
    <row r="865" spans="16381:16382" x14ac:dyDescent="0.25">
      <c r="XFA865" s="40">
        <v>851</v>
      </c>
      <c r="XFB865" s="40">
        <v>0.7</v>
      </c>
    </row>
    <row r="866" spans="16381:16382" x14ac:dyDescent="0.25">
      <c r="XFA866" s="40">
        <v>852</v>
      </c>
      <c r="XFB866" s="40">
        <v>0.7</v>
      </c>
    </row>
    <row r="867" spans="16381:16382" x14ac:dyDescent="0.25">
      <c r="XFA867" s="40">
        <v>853</v>
      </c>
      <c r="XFB867" s="40">
        <v>0.7</v>
      </c>
    </row>
  </sheetData>
  <sheetProtection sheet="1" insertColumns="0" insertRows="0" deleteColumns="0" deleteRows="0"/>
  <mergeCells count="41">
    <mergeCell ref="A2:C2"/>
    <mergeCell ref="A4:C4"/>
    <mergeCell ref="A3:C3"/>
    <mergeCell ref="E3:G3"/>
    <mergeCell ref="E4:G4"/>
    <mergeCell ref="A5:C5"/>
    <mergeCell ref="A6:C6"/>
    <mergeCell ref="A7:C7"/>
    <mergeCell ref="A8:C8"/>
    <mergeCell ref="E18:G18"/>
    <mergeCell ref="A12:C12"/>
    <mergeCell ref="E12:G12"/>
    <mergeCell ref="A18:C18"/>
    <mergeCell ref="E5:G5"/>
    <mergeCell ref="E6:G6"/>
    <mergeCell ref="E7:G7"/>
    <mergeCell ref="E8:G8"/>
    <mergeCell ref="A11:C11"/>
    <mergeCell ref="A19:C19"/>
    <mergeCell ref="E19:G19"/>
    <mergeCell ref="E13:G13"/>
    <mergeCell ref="E14:G14"/>
    <mergeCell ref="E15:G15"/>
    <mergeCell ref="E16:G16"/>
    <mergeCell ref="E17:G17"/>
    <mergeCell ref="A14:C14"/>
    <mergeCell ref="A15:C15"/>
    <mergeCell ref="A16:C16"/>
    <mergeCell ref="A17:C17"/>
    <mergeCell ref="A13:C13"/>
    <mergeCell ref="A35:C35"/>
    <mergeCell ref="A28:C28"/>
    <mergeCell ref="A21:C21"/>
    <mergeCell ref="A24:C24"/>
    <mergeCell ref="A27:C27"/>
    <mergeCell ref="A29:C29"/>
    <mergeCell ref="A30:C30"/>
    <mergeCell ref="A31:C31"/>
    <mergeCell ref="A32:C32"/>
    <mergeCell ref="A33:C33"/>
    <mergeCell ref="A34:C34"/>
  </mergeCells>
  <dataValidations count="1">
    <dataValidation type="list" allowBlank="1" showInputMessage="1" showErrorMessage="1" sqref="E13" xr:uid="{506C85E9-0A81-4DEF-B1AD-65688C6DFC67}">
      <formula1>$AGC$11:$AGC$35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5D398A-E01E-450B-AEF1-225A46250F9F}">
          <x14:formula1>
            <xm:f>Aux!$B$5:$B$56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65BF-3C7F-4373-90D6-28F747844BC3}">
  <sheetPr>
    <tabColor rgb="FFFF0000"/>
  </sheetPr>
  <dimension ref="A2:XFC82"/>
  <sheetViews>
    <sheetView zoomScaleNormal="100" workbookViewId="0"/>
  </sheetViews>
  <sheetFormatPr baseColWidth="10" defaultRowHeight="15" x14ac:dyDescent="0.25"/>
  <cols>
    <col min="1" max="3" width="11.42578125" style="38"/>
    <col min="4" max="4" width="26.85546875" style="38" customWidth="1"/>
    <col min="5" max="5" width="11.42578125" style="38"/>
    <col min="6" max="6" width="12.5703125" style="38" bestFit="1" customWidth="1"/>
    <col min="7" max="7" width="20.28515625" style="38" bestFit="1" customWidth="1"/>
    <col min="8" max="16381" width="11.42578125" style="38"/>
    <col min="16382" max="16383" width="0" style="38" hidden="1" customWidth="1"/>
    <col min="16384" max="16384" width="11.42578125" style="38"/>
  </cols>
  <sheetData>
    <row r="2" spans="1:21 16383:16383" ht="15" customHeight="1" x14ac:dyDescent="0.25">
      <c r="A2" s="223" t="s">
        <v>278</v>
      </c>
      <c r="B2" s="223"/>
      <c r="C2" s="223"/>
      <c r="D2" s="223"/>
    </row>
    <row r="3" spans="1:21 16383:16383" ht="14.25" x14ac:dyDescent="0.25">
      <c r="A3" s="218" t="s">
        <v>270</v>
      </c>
      <c r="B3" s="219"/>
      <c r="C3" s="219"/>
      <c r="D3" s="220"/>
      <c r="E3" s="233" t="s">
        <v>324</v>
      </c>
      <c r="F3" s="233"/>
      <c r="G3" s="233"/>
    </row>
    <row r="4" spans="1:21 16383:16383" ht="14.25" x14ac:dyDescent="0.25">
      <c r="A4" s="218" t="s">
        <v>283</v>
      </c>
      <c r="B4" s="219"/>
      <c r="C4" s="219"/>
      <c r="D4" s="220"/>
      <c r="E4" s="234" t="str">
        <f>INDEX('Modelos de captadores'!A3:A9,MATCH(E3,'Modelos de captadores'!B3:B9,0),1)</f>
        <v>COINTRA</v>
      </c>
      <c r="F4" s="235"/>
      <c r="G4" s="236"/>
    </row>
    <row r="5" spans="1:21 16383:16383" x14ac:dyDescent="0.25">
      <c r="A5" s="212" t="s">
        <v>271</v>
      </c>
      <c r="B5" s="213"/>
      <c r="C5" s="213"/>
      <c r="D5" s="213"/>
      <c r="E5" s="80" t="s">
        <v>76</v>
      </c>
      <c r="F5" s="80" t="s">
        <v>47</v>
      </c>
      <c r="G5" s="129">
        <f>INDEX('Modelos de captadores'!E3:E9,MATCH(E3,'Modelos de captadores'!B3:B9,0),1)</f>
        <v>0.755</v>
      </c>
      <c r="H5" s="43" t="s">
        <v>433</v>
      </c>
      <c r="I5" s="43" t="s">
        <v>438</v>
      </c>
      <c r="J5" s="43"/>
      <c r="K5" s="43"/>
      <c r="L5" s="43"/>
      <c r="M5" s="43"/>
    </row>
    <row r="6" spans="1:21 16383:16383" x14ac:dyDescent="0.25">
      <c r="A6" s="212" t="s">
        <v>272</v>
      </c>
      <c r="B6" s="213"/>
      <c r="C6" s="213"/>
      <c r="D6" s="213"/>
      <c r="E6" s="80" t="s">
        <v>75</v>
      </c>
      <c r="F6" s="80" t="s">
        <v>79</v>
      </c>
      <c r="G6" s="129">
        <f>INDEX('Modelos de captadores'!F3:F9,MATCH(E3,'Modelos de captadores'!B3:B9,0),1)</f>
        <v>3.72</v>
      </c>
    </row>
    <row r="7" spans="1:21 16383:16383" x14ac:dyDescent="0.25">
      <c r="A7" s="212" t="s">
        <v>293</v>
      </c>
      <c r="B7" s="213"/>
      <c r="C7" s="213"/>
      <c r="D7" s="213"/>
      <c r="E7" s="80" t="s">
        <v>294</v>
      </c>
      <c r="F7" s="80" t="s">
        <v>83</v>
      </c>
      <c r="G7" s="129">
        <f>INDEX('Modelos de captadores'!C3:C9,MATCH(E3,'Modelos de captadores'!B3:B9,0),1)</f>
        <v>1.97</v>
      </c>
    </row>
    <row r="8" spans="1:21 16383:16383" x14ac:dyDescent="0.25">
      <c r="A8" s="212" t="s">
        <v>273</v>
      </c>
      <c r="B8" s="213"/>
      <c r="C8" s="213"/>
      <c r="D8" s="213"/>
      <c r="E8" s="80" t="s">
        <v>282</v>
      </c>
      <c r="F8" s="80" t="s">
        <v>83</v>
      </c>
      <c r="G8" s="129">
        <v>1.87</v>
      </c>
    </row>
    <row r="9" spans="1:21 16383:16383" x14ac:dyDescent="0.25">
      <c r="A9" s="212" t="s">
        <v>33</v>
      </c>
      <c r="B9" s="213"/>
      <c r="C9" s="213"/>
      <c r="D9" s="213"/>
      <c r="E9" s="80" t="s">
        <v>35</v>
      </c>
      <c r="F9" s="80" t="s">
        <v>37</v>
      </c>
      <c r="G9" s="130">
        <v>0</v>
      </c>
      <c r="XFC9" s="38">
        <v>0</v>
      </c>
    </row>
    <row r="10" spans="1:21 16383:16383" x14ac:dyDescent="0.25">
      <c r="A10" s="211" t="s">
        <v>208</v>
      </c>
      <c r="B10" s="211"/>
      <c r="C10" s="211"/>
      <c r="D10" s="211"/>
      <c r="E10" s="80" t="s">
        <v>36</v>
      </c>
      <c r="F10" s="80" t="s">
        <v>37</v>
      </c>
      <c r="G10" s="130">
        <v>45</v>
      </c>
      <c r="XFC10" s="38">
        <v>10</v>
      </c>
    </row>
    <row r="11" spans="1:21 16383:16383" x14ac:dyDescent="0.25">
      <c r="A11" s="211" t="s">
        <v>1</v>
      </c>
      <c r="B11" s="211"/>
      <c r="C11" s="211"/>
      <c r="D11" s="211"/>
      <c r="E11" s="80" t="s">
        <v>34</v>
      </c>
      <c r="F11" s="80" t="s">
        <v>37</v>
      </c>
      <c r="G11" s="130">
        <v>43</v>
      </c>
      <c r="XFC11" s="38">
        <v>15</v>
      </c>
    </row>
    <row r="12" spans="1:21 16383:16383" ht="14.25" x14ac:dyDescent="0.25">
      <c r="XFC12" s="38">
        <v>20</v>
      </c>
    </row>
    <row r="13" spans="1:21 16383:16383" ht="14.25" x14ac:dyDescent="0.25">
      <c r="XFC13" s="38">
        <v>25</v>
      </c>
    </row>
    <row r="14" spans="1:21 16383:16383" ht="15" customHeight="1" x14ac:dyDescent="0.25">
      <c r="A14" s="223" t="s">
        <v>276</v>
      </c>
      <c r="B14" s="223"/>
      <c r="C14" s="223"/>
      <c r="D14" s="223"/>
      <c r="XFC14" s="38">
        <v>30</v>
      </c>
    </row>
    <row r="15" spans="1:21 16383:16383" ht="15" customHeight="1" x14ac:dyDescent="0.25">
      <c r="A15" s="218" t="s">
        <v>96</v>
      </c>
      <c r="B15" s="219"/>
      <c r="C15" s="219"/>
      <c r="D15" s="220"/>
      <c r="E15" s="100" t="s">
        <v>269</v>
      </c>
      <c r="F15" s="98" t="s">
        <v>95</v>
      </c>
      <c r="G15" s="99" t="s">
        <v>5</v>
      </c>
      <c r="H15" s="99" t="s">
        <v>6</v>
      </c>
      <c r="I15" s="99" t="s">
        <v>7</v>
      </c>
      <c r="J15" s="99" t="s">
        <v>8</v>
      </c>
      <c r="K15" s="99" t="s">
        <v>9</v>
      </c>
      <c r="L15" s="99" t="s">
        <v>10</v>
      </c>
      <c r="M15" s="99" t="s">
        <v>11</v>
      </c>
      <c r="N15" s="99" t="s">
        <v>12</v>
      </c>
      <c r="O15" s="99" t="s">
        <v>13</v>
      </c>
      <c r="P15" s="99" t="s">
        <v>14</v>
      </c>
      <c r="Q15" s="99" t="s">
        <v>15</v>
      </c>
      <c r="R15" s="99" t="s">
        <v>16</v>
      </c>
      <c r="S15" s="101" t="s">
        <v>94</v>
      </c>
      <c r="XFC15" s="38">
        <v>35</v>
      </c>
    </row>
    <row r="16" spans="1:21 16383:16383" ht="15" customHeight="1" x14ac:dyDescent="0.25">
      <c r="A16" s="175" t="s">
        <v>29</v>
      </c>
      <c r="B16" s="176"/>
      <c r="C16" s="176"/>
      <c r="D16" s="176"/>
      <c r="E16" s="197" t="s">
        <v>20</v>
      </c>
      <c r="F16" s="197" t="s">
        <v>82</v>
      </c>
      <c r="G16" s="193">
        <f>INDEX(Aux!C5:C56,MATCH(Demanda!E4,Aux!AU5:AU56,0),1)</f>
        <v>5.4</v>
      </c>
      <c r="H16" s="193">
        <f>INDEX(Aux!D5:D56,MATCH(Demanda!E4,Aux!AU5:AU56,0),1)</f>
        <v>8</v>
      </c>
      <c r="I16" s="193">
        <f>INDEX(Aux!E5:E56,MATCH(Demanda!E4,Aux!AU5:AU56,0),1)</f>
        <v>11.4</v>
      </c>
      <c r="J16" s="193">
        <f>INDEX(Aux!F5:F56,MATCH(Demanda!E4,Aux!AU5:AU56,0),1)</f>
        <v>12.4</v>
      </c>
      <c r="K16" s="193">
        <f>INDEX(Aux!G5:G56,MATCH(Demanda!E4,Aux!AU5:AU56,0),1)</f>
        <v>15.4</v>
      </c>
      <c r="L16" s="193">
        <f>INDEX(Aux!H5:H56,MATCH(Demanda!E4,Aux!AU5:AU56,0),1)</f>
        <v>16.2</v>
      </c>
      <c r="M16" s="193">
        <f>INDEX(Aux!I5:I56,MATCH(Demanda!E4,Aux!AU5:AU56,0),1)</f>
        <v>17.399999999999999</v>
      </c>
      <c r="N16" s="193">
        <f>INDEX(Aux!J5:J56,MATCH(Demanda!E4,Aux!AU5:AU56,0),1)</f>
        <v>15.3</v>
      </c>
      <c r="O16" s="193">
        <f>INDEX(Aux!K5:K56,MATCH(Demanda!E4,Aux!AU5:AU56,0),1)</f>
        <v>13.9</v>
      </c>
      <c r="P16" s="193">
        <f>INDEX(Aux!L5:L56,MATCH(Demanda!E4,Aux!AU5:AU56,0),1)</f>
        <v>10.9</v>
      </c>
      <c r="Q16" s="193">
        <f>INDEX(Aux!M5:M56,MATCH(Demanda!E4,Aux!AU5:AU56,0),1)</f>
        <v>6.4</v>
      </c>
      <c r="R16" s="193">
        <f>INDEX(Aux!N5:N56,MATCH(Demanda!E4,Aux!AU5:AU56,0),1)</f>
        <v>5.0999999999999996</v>
      </c>
      <c r="S16" s="199">
        <f>INDEX(Aux!O5:O56,MATCH(Demanda!E4,Aux!AU5:AU56,0),1)</f>
        <v>11.483333333333333</v>
      </c>
      <c r="U16" s="38" t="s">
        <v>318</v>
      </c>
      <c r="XFC16" s="38">
        <v>40</v>
      </c>
    </row>
    <row r="17" spans="1:21 16382:16383" x14ac:dyDescent="0.25">
      <c r="A17" s="221"/>
      <c r="B17" s="222"/>
      <c r="C17" s="222"/>
      <c r="D17" s="222"/>
      <c r="E17" s="198"/>
      <c r="F17" s="198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200"/>
      <c r="XFC17" s="38">
        <v>45</v>
      </c>
    </row>
    <row r="18" spans="1:21 16382:16383" ht="15" customHeight="1" x14ac:dyDescent="0.25">
      <c r="A18" s="205" t="s">
        <v>29</v>
      </c>
      <c r="B18" s="206"/>
      <c r="C18" s="206"/>
      <c r="D18" s="207"/>
      <c r="E18" s="197" t="s">
        <v>20</v>
      </c>
      <c r="F18" s="197" t="s">
        <v>81</v>
      </c>
      <c r="G18" s="195">
        <f>G16*0.2778</f>
        <v>1.5001200000000001</v>
      </c>
      <c r="H18" s="195">
        <f t="shared" ref="H18:S18" si="0">H16*0.2778</f>
        <v>2.2223999999999999</v>
      </c>
      <c r="I18" s="195">
        <f t="shared" si="0"/>
        <v>3.1669200000000002</v>
      </c>
      <c r="J18" s="195">
        <f t="shared" si="0"/>
        <v>3.4447199999999998</v>
      </c>
      <c r="K18" s="195">
        <f t="shared" si="0"/>
        <v>4.2781200000000004</v>
      </c>
      <c r="L18" s="195">
        <f t="shared" si="0"/>
        <v>4.5003599999999997</v>
      </c>
      <c r="M18" s="195">
        <f t="shared" si="0"/>
        <v>4.8337199999999996</v>
      </c>
      <c r="N18" s="195">
        <f t="shared" si="0"/>
        <v>4.2503400000000005</v>
      </c>
      <c r="O18" s="195">
        <f t="shared" si="0"/>
        <v>3.8614199999999999</v>
      </c>
      <c r="P18" s="195">
        <f t="shared" si="0"/>
        <v>3.0280200000000002</v>
      </c>
      <c r="Q18" s="195">
        <f t="shared" si="0"/>
        <v>1.7779199999999999</v>
      </c>
      <c r="R18" s="195">
        <f t="shared" si="0"/>
        <v>1.4167799999999999</v>
      </c>
      <c r="S18" s="201">
        <f t="shared" si="0"/>
        <v>3.1900699999999995</v>
      </c>
      <c r="XFC18" s="38">
        <v>50</v>
      </c>
    </row>
    <row r="19" spans="1:21 16382:16383" ht="13.5" customHeight="1" x14ac:dyDescent="0.25">
      <c r="A19" s="208"/>
      <c r="B19" s="209"/>
      <c r="C19" s="209"/>
      <c r="D19" s="210"/>
      <c r="E19" s="198"/>
      <c r="F19" s="198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202"/>
      <c r="XFC19" s="38">
        <v>55</v>
      </c>
    </row>
    <row r="20" spans="1:21 16382:16383" x14ac:dyDescent="0.25">
      <c r="A20" s="212" t="s">
        <v>30</v>
      </c>
      <c r="B20" s="213"/>
      <c r="C20" s="213"/>
      <c r="D20" s="213"/>
      <c r="E20" s="80" t="s">
        <v>31</v>
      </c>
      <c r="F20" s="80" t="s">
        <v>47</v>
      </c>
      <c r="G20" s="129">
        <f ca="1">INDEX('Aux1'!C3:C21,MATCH(G10,'Aux1'!B3:B21,0),1)</f>
        <v>1.45</v>
      </c>
      <c r="H20" s="129">
        <f ca="1">INDEX('Aux1'!D3:D21,MATCH(G10,'Aux1'!B3:B21,0),1)</f>
        <v>1.33</v>
      </c>
      <c r="I20" s="129">
        <f ca="1">INDEX('Aux1'!E3:E21,MATCH(G10,'Aux1'!B3:B21,0),1)</f>
        <v>1.19</v>
      </c>
      <c r="J20" s="129">
        <f ca="1">INDEX('Aux1'!F3:F21,MATCH(G10,'Aux1'!B3:B21,0),1)</f>
        <v>1.05</v>
      </c>
      <c r="K20" s="129">
        <f ca="1">INDEX('Aux1'!G3:G21,MATCH(G10,'Aux1'!B3:B21,0),1)</f>
        <v>0.95</v>
      </c>
      <c r="L20" s="129">
        <f ca="1">INDEX('Aux1'!H3:H21,MATCH(G10,'Aux1'!B3:B21,0),1)</f>
        <v>0.91</v>
      </c>
      <c r="M20" s="129">
        <f ca="1">INDEX('Aux1'!I3:I21,MATCH(G10,'Aux1'!B3:B21,0),1)</f>
        <v>0.95</v>
      </c>
      <c r="N20" s="129">
        <f ca="1">INDEX('Aux1'!J3:J21,MATCH(G10,'Aux1'!B3:B21,0),1)</f>
        <v>1.06</v>
      </c>
      <c r="O20" s="129">
        <f ca="1">INDEX('Aux1'!K3:K21,MATCH(G10,'Aux1'!B3:B21,0),1)</f>
        <v>1.24</v>
      </c>
      <c r="P20" s="129">
        <f ca="1">INDEX('Aux1'!L3:L21,MATCH(G10,'Aux1'!B3:B21,0),1)</f>
        <v>1.45</v>
      </c>
      <c r="Q20" s="129">
        <f ca="1">INDEX('Aux1'!M3:M21,MATCH(G10,'Aux1'!B3:B21,0),1)</f>
        <v>1.59</v>
      </c>
      <c r="R20" s="129">
        <f ca="1">INDEX('Aux1'!N3:N21,MATCH(G10,'Aux1'!B3:B21,0),1)</f>
        <v>1.57</v>
      </c>
      <c r="S20" s="82"/>
      <c r="U20" s="38" t="s">
        <v>318</v>
      </c>
      <c r="XFC20" s="38">
        <v>60</v>
      </c>
    </row>
    <row r="21" spans="1:21 16382:16383" x14ac:dyDescent="0.25">
      <c r="A21" s="212" t="s">
        <v>18</v>
      </c>
      <c r="B21" s="213"/>
      <c r="C21" s="213"/>
      <c r="D21" s="213"/>
      <c r="E21" s="80" t="s">
        <v>28</v>
      </c>
      <c r="F21" s="83" t="s">
        <v>81</v>
      </c>
      <c r="G21" s="129">
        <f ca="1">G18*G20</f>
        <v>2.1751740000000002</v>
      </c>
      <c r="H21" s="131">
        <f t="shared" ref="H21:R21" ca="1" si="1">H18*H20</f>
        <v>2.9557920000000002</v>
      </c>
      <c r="I21" s="131">
        <f t="shared" ca="1" si="1"/>
        <v>3.7686348000000001</v>
      </c>
      <c r="J21" s="131">
        <f t="shared" ca="1" si="1"/>
        <v>3.6169560000000001</v>
      </c>
      <c r="K21" s="131">
        <f t="shared" ca="1" si="1"/>
        <v>4.0642139999999998</v>
      </c>
      <c r="L21" s="131">
        <f t="shared" ca="1" si="1"/>
        <v>4.0953276000000001</v>
      </c>
      <c r="M21" s="131">
        <f t="shared" ca="1" si="1"/>
        <v>4.5920339999999991</v>
      </c>
      <c r="N21" s="131">
        <f t="shared" ca="1" si="1"/>
        <v>4.5053604000000007</v>
      </c>
      <c r="O21" s="131">
        <f t="shared" ca="1" si="1"/>
        <v>4.7881608</v>
      </c>
      <c r="P21" s="131">
        <f t="shared" ca="1" si="1"/>
        <v>4.3906289999999997</v>
      </c>
      <c r="Q21" s="131">
        <f t="shared" ca="1" si="1"/>
        <v>2.8268928</v>
      </c>
      <c r="R21" s="131">
        <f t="shared" ca="1" si="1"/>
        <v>2.2243445999999998</v>
      </c>
      <c r="S21" s="82"/>
      <c r="XFC21" s="38">
        <v>65</v>
      </c>
    </row>
    <row r="22" spans="1:21 16382:16383" ht="14.25" x14ac:dyDescent="0.25">
      <c r="A22" s="212" t="s">
        <v>19</v>
      </c>
      <c r="B22" s="213"/>
      <c r="C22" s="213"/>
      <c r="D22" s="214"/>
      <c r="E22" s="80" t="s">
        <v>21</v>
      </c>
      <c r="F22" s="83" t="s">
        <v>49</v>
      </c>
      <c r="G22" s="129">
        <f>INDEX(Aux!BF5:BF56,MATCH(Demanda!$E4,Aux!$AU5:$AU56,0),1)/31</f>
        <v>2.193548387096774</v>
      </c>
      <c r="H22" s="131">
        <f>INDEX(Aux!BG5:BG56,MATCH(Demanda!$E4,Aux!$AU5:$AU56,0),1)/28</f>
        <v>2.7142857142857144</v>
      </c>
      <c r="I22" s="131">
        <f>INDEX(Aux!BH5:BH56,MATCH(Demanda!$E4,Aux!$AU5:$AU56,0),1)/31</f>
        <v>5.32258064516129</v>
      </c>
      <c r="J22" s="131">
        <f>INDEX(Aux!BI5:BI56,MATCH(Demanda!$E4,Aux!$AU5:$AU56,0),1)/30</f>
        <v>6.166666666666667</v>
      </c>
      <c r="K22" s="131">
        <f>INDEX(Aux!BJ5:BJ56,MATCH(Demanda!$E4,Aux!$AU5:$AU56,0),1)/31</f>
        <v>6.354838709677419</v>
      </c>
      <c r="L22" s="131">
        <f>INDEX(Aux!BK5:BK56,MATCH(Demanda!$E4,Aux!$AU5:$AU56,0),1)/30</f>
        <v>8</v>
      </c>
      <c r="M22" s="131">
        <f>INDEX(Aux!BL5:BL56,MATCH(Demanda!$E4,Aux!$AU5:$AU56,0),1)/31</f>
        <v>10.741935483870968</v>
      </c>
      <c r="N22" s="131">
        <f>INDEX(Aux!BM5:BM56,MATCH(Demanda!$E4,Aux!$AU5:$AU56,0),1)/31</f>
        <v>10.064516129032258</v>
      </c>
      <c r="O22" s="131">
        <f>INDEX(Aux!BN5:BN56,MATCH(Demanda!$E4,Aux!$AU5:$AU56,0),1)/30</f>
        <v>7.1333333333333337</v>
      </c>
      <c r="P22" s="131">
        <f>INDEX(Aux!BO5:BO56,MATCH(Demanda!$E4,Aux!$AU5:$AU56,0),1)/31</f>
        <v>6.806451612903226</v>
      </c>
      <c r="Q22" s="131">
        <f>INDEX(Aux!BP5:BP56,MATCH(Demanda!$E4,Aux!$AU5:$AU56,0),1)/30</f>
        <v>4.3</v>
      </c>
      <c r="R22" s="131">
        <f>INDEX(Aux!BQ5:BQ56,MATCH(Demanda!$E4,Aux!$AU5:$AU56,0),1)/31</f>
        <v>5.225806451612903</v>
      </c>
      <c r="S22" s="132">
        <f>AVERAGE(G22:R22)</f>
        <v>6.2519969278033791</v>
      </c>
      <c r="XFC22" s="38">
        <v>70</v>
      </c>
    </row>
    <row r="23" spans="1:21 16382:16383" x14ac:dyDescent="0.25">
      <c r="A23" s="215" t="s">
        <v>22</v>
      </c>
      <c r="B23" s="216"/>
      <c r="C23" s="216"/>
      <c r="D23" s="217"/>
      <c r="E23" s="80" t="s">
        <v>23</v>
      </c>
      <c r="F23" s="83" t="s">
        <v>80</v>
      </c>
      <c r="G23" s="68">
        <f t="shared" ref="G23:R23" ca="1" si="2">G21*1000/G22</f>
        <v>991.62344117647069</v>
      </c>
      <c r="H23" s="68">
        <f t="shared" ca="1" si="2"/>
        <v>1088.9760000000001</v>
      </c>
      <c r="I23" s="68">
        <f t="shared" ca="1" si="2"/>
        <v>708.04653818181828</v>
      </c>
      <c r="J23" s="68">
        <f t="shared" ca="1" si="2"/>
        <v>586.53340540540535</v>
      </c>
      <c r="K23" s="68">
        <f t="shared" ca="1" si="2"/>
        <v>639.54636548223357</v>
      </c>
      <c r="L23" s="68">
        <f t="shared" ca="1" si="2"/>
        <v>511.91595000000001</v>
      </c>
      <c r="M23" s="68">
        <f t="shared" ca="1" si="2"/>
        <v>427.4866486486485</v>
      </c>
      <c r="N23" s="68">
        <f t="shared" ca="1" si="2"/>
        <v>447.64798846153849</v>
      </c>
      <c r="O23" s="68">
        <f t="shared" ca="1" si="2"/>
        <v>671.23749532710269</v>
      </c>
      <c r="P23" s="68">
        <f t="shared" ca="1" si="2"/>
        <v>645.06871563981042</v>
      </c>
      <c r="Q23" s="68">
        <f t="shared" ca="1" si="2"/>
        <v>657.41693023255823</v>
      </c>
      <c r="R23" s="68">
        <f t="shared" ca="1" si="2"/>
        <v>425.6461888888889</v>
      </c>
      <c r="S23" s="132">
        <f ca="1">AVERAGE(G23:R23)</f>
        <v>650.09547228703957</v>
      </c>
      <c r="XFC23" s="38">
        <v>75</v>
      </c>
    </row>
    <row r="24" spans="1:21 16382:16383" x14ac:dyDescent="0.25">
      <c r="A24" s="212" t="s">
        <v>78</v>
      </c>
      <c r="B24" s="213"/>
      <c r="C24" s="213"/>
      <c r="D24" s="213"/>
      <c r="E24" s="80" t="s">
        <v>47</v>
      </c>
      <c r="F24" s="80" t="s">
        <v>3</v>
      </c>
      <c r="G24" s="66">
        <f>Demanda!F32</f>
        <v>60</v>
      </c>
      <c r="H24" s="66">
        <f>$G$24</f>
        <v>60</v>
      </c>
      <c r="I24" s="66">
        <f t="shared" ref="I24:S24" si="3">$G$24</f>
        <v>60</v>
      </c>
      <c r="J24" s="66">
        <f t="shared" si="3"/>
        <v>60</v>
      </c>
      <c r="K24" s="66">
        <f t="shared" si="3"/>
        <v>60</v>
      </c>
      <c r="L24" s="66">
        <f t="shared" si="3"/>
        <v>60</v>
      </c>
      <c r="M24" s="66">
        <f t="shared" si="3"/>
        <v>60</v>
      </c>
      <c r="N24" s="66">
        <f t="shared" si="3"/>
        <v>60</v>
      </c>
      <c r="O24" s="66">
        <f t="shared" si="3"/>
        <v>60</v>
      </c>
      <c r="P24" s="66">
        <f t="shared" si="3"/>
        <v>60</v>
      </c>
      <c r="Q24" s="66">
        <f t="shared" si="3"/>
        <v>60</v>
      </c>
      <c r="R24" s="66">
        <f t="shared" si="3"/>
        <v>60</v>
      </c>
      <c r="S24" s="133">
        <f t="shared" si="3"/>
        <v>60</v>
      </c>
      <c r="XFC24" s="38">
        <v>80</v>
      </c>
    </row>
    <row r="25" spans="1:21 16382:16383" x14ac:dyDescent="0.25">
      <c r="A25" s="212" t="s">
        <v>24</v>
      </c>
      <c r="B25" s="213"/>
      <c r="C25" s="213"/>
      <c r="D25" s="213"/>
      <c r="E25" s="80" t="s">
        <v>47</v>
      </c>
      <c r="F25" s="80" t="s">
        <v>3</v>
      </c>
      <c r="G25" s="70">
        <f>INDEX(Aux!Q5:Q56,MATCH(Demanda!E4,Aux!AU5:AU56,0),1)</f>
        <v>12</v>
      </c>
      <c r="H25" s="70">
        <f>INDEX(Aux!R5:R56,MATCH(Demanda!E4,Aux!AU5:AU56,0),1)</f>
        <v>12</v>
      </c>
      <c r="I25" s="70">
        <f>INDEX(Aux!S5:S56,MATCH(Demanda!E4,Aux!AU5:AU56,0),1)</f>
        <v>14</v>
      </c>
      <c r="J25" s="70">
        <f>INDEX(Aux!T5:T56,MATCH(Demanda!E4,Aux!AU5:AU56,0),1)</f>
        <v>14</v>
      </c>
      <c r="K25" s="70">
        <f>INDEX(Aux!U5:U56,MATCH(Demanda!E4,Aux!AU5:AU56,0),1)</f>
        <v>16</v>
      </c>
      <c r="L25" s="70">
        <f>INDEX(Aux!V5:V56,MATCH(Demanda!E4,Aux!AU5:AU56,0),1)</f>
        <v>19</v>
      </c>
      <c r="M25" s="70">
        <f>INDEX(Aux!W5:W56,MATCH(Demanda!E4,Aux!AU5:AU56,0),1)</f>
        <v>20</v>
      </c>
      <c r="N25" s="70">
        <f>INDEX(Aux!X5:X56,MATCH(Demanda!E4,Aux!AU5:AU56,0),1)</f>
        <v>21</v>
      </c>
      <c r="O25" s="70">
        <f>INDEX(Aux!Y5:Y56,MATCH(Demanda!E4,Aux!AU5:AU56,0),1)</f>
        <v>20</v>
      </c>
      <c r="P25" s="70">
        <f>INDEX(Aux!Z5:Z56,MATCH(Demanda!E4,Aux!AU5:AU56,0),1)</f>
        <v>17</v>
      </c>
      <c r="Q25" s="70">
        <f>INDEX(Aux!AA5:AA56,MATCH(Demanda!E4,Aux!AU5:AU56,0),1)</f>
        <v>14</v>
      </c>
      <c r="R25" s="70">
        <f>INDEX(Aux!AB5:AB56,MATCH(Demanda!E4,Aux!AU5:AU56,0),1)</f>
        <v>12</v>
      </c>
      <c r="S25" s="133">
        <f>INDEX(Aux!AC5:AC56,MATCH(Demanda!E4,Aux!AU5:AU56,0),1)</f>
        <v>15.916666666666666</v>
      </c>
      <c r="U25" s="38" t="s">
        <v>318</v>
      </c>
      <c r="XFC25" s="38">
        <v>85</v>
      </c>
    </row>
    <row r="26" spans="1:21 16382:16383" x14ac:dyDescent="0.25">
      <c r="A26" s="212" t="s">
        <v>26</v>
      </c>
      <c r="B26" s="213"/>
      <c r="C26" s="213"/>
      <c r="D26" s="213"/>
      <c r="E26" s="80" t="s">
        <v>32</v>
      </c>
      <c r="F26" s="80" t="s">
        <v>47</v>
      </c>
      <c r="G26" s="68">
        <f ca="1">$G$5-$G$6*(60-G25)/G23</f>
        <v>0.57493164684756259</v>
      </c>
      <c r="H26" s="68">
        <f t="shared" ref="H26:S26" ca="1" si="4">$G$5-$G$6*(60-H25)/H23</f>
        <v>0.5910294441750783</v>
      </c>
      <c r="I26" s="68">
        <f t="shared" ca="1" si="4"/>
        <v>0.51332097076639005</v>
      </c>
      <c r="J26" s="68">
        <f t="shared" ca="1" si="4"/>
        <v>0.46325191127566934</v>
      </c>
      <c r="K26" s="68">
        <f t="shared" ca="1" si="4"/>
        <v>0.49906859481316684</v>
      </c>
      <c r="L26" s="68">
        <f t="shared" ca="1" si="4"/>
        <v>0.45706046519941407</v>
      </c>
      <c r="M26" s="68">
        <f t="shared" ca="1" si="4"/>
        <v>0.40691895356175484</v>
      </c>
      <c r="N26" s="68">
        <f t="shared" ca="1" si="4"/>
        <v>0.43090606070049359</v>
      </c>
      <c r="O26" s="68">
        <f t="shared" ca="1" si="4"/>
        <v>0.53331989268196667</v>
      </c>
      <c r="P26" s="68">
        <f t="shared" ca="1" si="4"/>
        <v>0.50702641808269377</v>
      </c>
      <c r="Q26" s="68">
        <f t="shared" ca="1" si="4"/>
        <v>0.49470855916432349</v>
      </c>
      <c r="R26" s="68">
        <f t="shared" ca="1" si="4"/>
        <v>0.3354966550596522</v>
      </c>
      <c r="S26" s="132">
        <f t="shared" ca="1" si="4"/>
        <v>0.50274474367113764</v>
      </c>
      <c r="XFC26" s="38">
        <v>90</v>
      </c>
    </row>
    <row r="27" spans="1:21 16382:16383" x14ac:dyDescent="0.25">
      <c r="A27" s="212" t="s">
        <v>274</v>
      </c>
      <c r="B27" s="213"/>
      <c r="C27" s="213"/>
      <c r="D27" s="213"/>
      <c r="E27" s="80" t="s">
        <v>25</v>
      </c>
      <c r="F27" s="80" t="s">
        <v>27</v>
      </c>
      <c r="G27" s="68">
        <f ca="1">0.9*G21*G26</f>
        <v>1.1255187330000003</v>
      </c>
      <c r="H27" s="68">
        <f t="shared" ref="H27:R27" ca="1" si="5">0.9*H21*H26</f>
        <v>1.5722640925714289</v>
      </c>
      <c r="I27" s="68">
        <f t="shared" ca="1" si="5"/>
        <v>1.7410673466000002</v>
      </c>
      <c r="J27" s="68">
        <f t="shared" ca="1" si="5"/>
        <v>1.5080056019999999</v>
      </c>
      <c r="K27" s="68">
        <f t="shared" ca="1" si="5"/>
        <v>1.8254894130000001</v>
      </c>
      <c r="L27" s="68">
        <f t="shared" ca="1" si="5"/>
        <v>1.6846311042</v>
      </c>
      <c r="M27" s="68">
        <f t="shared" ca="1" si="5"/>
        <v>1.6817271029999992</v>
      </c>
      <c r="N27" s="68">
        <f t="shared" ca="1" si="5"/>
        <v>1.7472483918000004</v>
      </c>
      <c r="O27" s="68">
        <f t="shared" ca="1" si="5"/>
        <v>2.2982592635999999</v>
      </c>
      <c r="P27" s="68">
        <f t="shared" ca="1" si="5"/>
        <v>2.0035484054999997</v>
      </c>
      <c r="Q27" s="68">
        <f t="shared" ca="1" si="5"/>
        <v>1.2586392576000001</v>
      </c>
      <c r="R27" s="68">
        <f t="shared" ca="1" si="5"/>
        <v>0.67163415569999996</v>
      </c>
      <c r="S27" s="132">
        <f ca="1">SUM(G27:R27)</f>
        <v>19.118032868571429</v>
      </c>
    </row>
    <row r="28" spans="1:21 16382:16383" x14ac:dyDescent="0.25">
      <c r="A28" s="211" t="s">
        <v>274</v>
      </c>
      <c r="B28" s="211"/>
      <c r="C28" s="211"/>
      <c r="D28" s="211"/>
      <c r="E28" s="80" t="s">
        <v>25</v>
      </c>
      <c r="F28" s="80" t="s">
        <v>4</v>
      </c>
      <c r="G28" s="68">
        <f ca="1">G27*Demanda!F29</f>
        <v>34.891080723000009</v>
      </c>
      <c r="H28" s="68">
        <f ca="1">H27*Demanda!G29</f>
        <v>44.02339459200001</v>
      </c>
      <c r="I28" s="68">
        <f ca="1">I27*Demanda!H29</f>
        <v>53.973087744600008</v>
      </c>
      <c r="J28" s="68">
        <f ca="1">J27*Demanda!I29</f>
        <v>45.240168059999995</v>
      </c>
      <c r="K28" s="68">
        <f ca="1">K27*Demanda!J29</f>
        <v>56.590171803000004</v>
      </c>
      <c r="L28" s="68">
        <f ca="1">L27*Demanda!K29</f>
        <v>50.538933125999996</v>
      </c>
      <c r="M28" s="68">
        <f ca="1">M27*Demanda!L29</f>
        <v>52.133540192999973</v>
      </c>
      <c r="N28" s="68">
        <f ca="1">N27*Demanda!M29</f>
        <v>54.164700145800012</v>
      </c>
      <c r="O28" s="68">
        <f ca="1">O27*Demanda!N29</f>
        <v>68.947777907999992</v>
      </c>
      <c r="P28" s="68">
        <f ca="1">P27*Demanda!O29</f>
        <v>62.110000570499992</v>
      </c>
      <c r="Q28" s="68">
        <f ca="1">Q27*Demanda!P29</f>
        <v>37.759177728000004</v>
      </c>
      <c r="R28" s="68">
        <f ca="1">R27*Demanda!Q29</f>
        <v>20.820658826699997</v>
      </c>
      <c r="S28" s="132">
        <f ca="1">SUM(G28:R28)</f>
        <v>581.1926914206</v>
      </c>
      <c r="T28" s="45"/>
    </row>
    <row r="29" spans="1:21 16382:16383" thickBot="1" x14ac:dyDescent="0.3"/>
    <row r="30" spans="1:21 16382:16383" ht="15.75" thickTop="1" x14ac:dyDescent="0.25">
      <c r="XFB30" s="38">
        <v>28</v>
      </c>
      <c r="XFC30" s="46" t="s">
        <v>209</v>
      </c>
    </row>
    <row r="31" spans="1:21 16382:16383" ht="15" customHeight="1" thickBot="1" x14ac:dyDescent="0.3">
      <c r="A31" s="231" t="s">
        <v>275</v>
      </c>
      <c r="B31" s="231"/>
      <c r="C31" s="231"/>
      <c r="D31" s="23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XFB31" s="38">
        <v>29</v>
      </c>
      <c r="XFC31" s="47" t="s">
        <v>210</v>
      </c>
    </row>
    <row r="32" spans="1:21 16382:16383" ht="16.5" thickTop="1" thickBot="1" x14ac:dyDescent="0.3">
      <c r="A32" s="237" t="s">
        <v>96</v>
      </c>
      <c r="B32" s="238"/>
      <c r="C32" s="238"/>
      <c r="D32" s="239"/>
      <c r="E32" s="100" t="s">
        <v>269</v>
      </c>
      <c r="F32" s="98" t="s">
        <v>95</v>
      </c>
      <c r="G32" s="104" t="s">
        <v>97</v>
      </c>
      <c r="H32" s="43"/>
      <c r="I32" s="43"/>
      <c r="J32" s="43"/>
      <c r="K32" s="43"/>
      <c r="L32" s="43"/>
      <c r="M32" s="43"/>
      <c r="N32" s="43"/>
      <c r="O32" s="43"/>
      <c r="P32" s="43"/>
      <c r="XFB32" s="38">
        <v>34</v>
      </c>
      <c r="XFC32" s="46" t="s">
        <v>211</v>
      </c>
    </row>
    <row r="33" spans="1:26 16382:16383" ht="16.5" thickTop="1" thickBot="1" x14ac:dyDescent="0.3">
      <c r="A33" s="203" t="s">
        <v>38</v>
      </c>
      <c r="B33" s="204"/>
      <c r="C33" s="204"/>
      <c r="D33" s="204"/>
      <c r="E33" s="80" t="s">
        <v>47</v>
      </c>
      <c r="F33" s="80" t="s">
        <v>39</v>
      </c>
      <c r="G33" s="67">
        <f>Demanda!R35</f>
        <v>35213.744160000002</v>
      </c>
      <c r="H33" s="43"/>
      <c r="I33" s="43"/>
      <c r="J33" s="43"/>
      <c r="K33" s="43"/>
      <c r="L33" s="43"/>
      <c r="M33" s="43"/>
      <c r="N33" s="43"/>
      <c r="O33" s="43"/>
      <c r="P33" s="43"/>
      <c r="XFB33" s="38">
        <v>35</v>
      </c>
      <c r="XFC33" s="46" t="s">
        <v>212</v>
      </c>
    </row>
    <row r="34" spans="1:26 16382:16383" ht="15.75" thickTop="1" x14ac:dyDescent="0.25">
      <c r="A34" s="203" t="s">
        <v>40</v>
      </c>
      <c r="B34" s="204"/>
      <c r="C34" s="204"/>
      <c r="D34" s="204"/>
      <c r="E34" s="80" t="s">
        <v>47</v>
      </c>
      <c r="F34" s="80" t="s">
        <v>39</v>
      </c>
      <c r="G34" s="67">
        <f>G33*Demanda!D21</f>
        <v>21128.246496</v>
      </c>
      <c r="H34" s="43"/>
      <c r="I34" s="43"/>
      <c r="J34" s="43"/>
      <c r="K34" s="43"/>
      <c r="L34" s="43"/>
      <c r="M34" s="43"/>
      <c r="N34" s="43"/>
      <c r="O34" s="43"/>
      <c r="P34" s="43"/>
      <c r="Z34" s="49"/>
      <c r="XFB34" s="38">
        <v>36</v>
      </c>
      <c r="XFC34" s="46" t="s">
        <v>213</v>
      </c>
    </row>
    <row r="35" spans="1:26 16382:16383" ht="15.75" thickBot="1" x14ac:dyDescent="0.3">
      <c r="A35" s="203" t="s">
        <v>84</v>
      </c>
      <c r="B35" s="204"/>
      <c r="C35" s="204"/>
      <c r="D35" s="204"/>
      <c r="E35" s="80" t="s">
        <v>41</v>
      </c>
      <c r="F35" s="80" t="s">
        <v>83</v>
      </c>
      <c r="G35" s="67">
        <f ca="1">G34/S28</f>
        <v>36.353255654947354</v>
      </c>
      <c r="H35" s="43" t="s">
        <v>439</v>
      </c>
      <c r="I35" s="43"/>
      <c r="J35" s="43"/>
      <c r="K35" s="43"/>
      <c r="L35" s="43"/>
      <c r="M35" s="43"/>
      <c r="N35" s="43"/>
      <c r="O35" s="43"/>
      <c r="P35" s="43"/>
      <c r="Z35" s="49"/>
      <c r="XFB35" s="38">
        <v>37</v>
      </c>
      <c r="XFC35" s="47" t="s">
        <v>214</v>
      </c>
    </row>
    <row r="36" spans="1:26 16382:16383" ht="16.5" thickTop="1" thickBot="1" x14ac:dyDescent="0.3">
      <c r="A36" s="203" t="s">
        <v>85</v>
      </c>
      <c r="B36" s="204"/>
      <c r="C36" s="204"/>
      <c r="D36" s="204"/>
      <c r="E36" s="80" t="s">
        <v>41</v>
      </c>
      <c r="F36" s="80" t="s">
        <v>83</v>
      </c>
      <c r="G36" s="67">
        <f>G8</f>
        <v>1.87</v>
      </c>
      <c r="H36" s="43"/>
      <c r="I36" s="43"/>
      <c r="J36" s="43"/>
      <c r="K36" s="43"/>
      <c r="L36" s="43"/>
      <c r="M36" s="43"/>
      <c r="N36" s="43"/>
      <c r="O36" s="43"/>
      <c r="P36" s="43"/>
      <c r="Z36" s="49"/>
      <c r="XFB36" s="38">
        <v>38</v>
      </c>
      <c r="XFC36" s="46" t="s">
        <v>215</v>
      </c>
    </row>
    <row r="37" spans="1:26 16382:16383" ht="16.5" thickTop="1" thickBot="1" x14ac:dyDescent="0.3">
      <c r="A37" s="230" t="s">
        <v>86</v>
      </c>
      <c r="B37" s="230"/>
      <c r="C37" s="230"/>
      <c r="D37" s="230"/>
      <c r="E37" s="80" t="s">
        <v>47</v>
      </c>
      <c r="F37" s="80" t="s">
        <v>305</v>
      </c>
      <c r="G37" s="66">
        <f ca="1">ROUNDUP(G35/G36,0)</f>
        <v>20</v>
      </c>
      <c r="H37" s="43"/>
      <c r="I37" s="43"/>
      <c r="J37" s="43"/>
      <c r="K37" s="43"/>
      <c r="L37" s="43"/>
      <c r="M37" s="43"/>
      <c r="N37" s="43"/>
      <c r="O37" s="43"/>
      <c r="P37" s="43"/>
      <c r="Z37" s="49"/>
      <c r="XFB37" s="38">
        <v>39</v>
      </c>
      <c r="XFC37" s="46" t="s">
        <v>216</v>
      </c>
    </row>
    <row r="38" spans="1:26 16382:16383" ht="16.5" thickTop="1" thickBot="1" x14ac:dyDescent="0.3">
      <c r="XFB38" s="38">
        <v>40</v>
      </c>
      <c r="XFC38" s="46" t="s">
        <v>217</v>
      </c>
    </row>
    <row r="39" spans="1:26 16382:16383" ht="16.5" thickTop="1" thickBot="1" x14ac:dyDescent="0.3">
      <c r="XFB39" s="38">
        <v>41</v>
      </c>
      <c r="XFC39" s="46" t="s">
        <v>218</v>
      </c>
    </row>
    <row r="40" spans="1:26 16382:16383" ht="17.25" thickTop="1" thickBot="1" x14ac:dyDescent="0.3">
      <c r="A40" s="223" t="s">
        <v>42</v>
      </c>
      <c r="B40" s="223"/>
      <c r="C40" s="223"/>
      <c r="D40" s="223"/>
      <c r="XFB40" s="38">
        <v>42</v>
      </c>
      <c r="XFC40" s="46" t="s">
        <v>219</v>
      </c>
    </row>
    <row r="41" spans="1:26 16382:16383" ht="15.75" thickTop="1" x14ac:dyDescent="0.25">
      <c r="A41" s="218" t="s">
        <v>96</v>
      </c>
      <c r="B41" s="219"/>
      <c r="C41" s="219"/>
      <c r="D41" s="220"/>
      <c r="E41" s="105" t="s">
        <v>269</v>
      </c>
      <c r="F41" s="106" t="s">
        <v>95</v>
      </c>
      <c r="G41" s="104" t="s">
        <v>97</v>
      </c>
      <c r="XFB41" s="38">
        <v>43</v>
      </c>
      <c r="XFC41" s="46" t="s">
        <v>220</v>
      </c>
    </row>
    <row r="42" spans="1:26 16382:16383" x14ac:dyDescent="0.25">
      <c r="A42" s="212" t="s">
        <v>45</v>
      </c>
      <c r="B42" s="213"/>
      <c r="C42" s="213"/>
      <c r="D42" s="213"/>
      <c r="E42" s="80" t="s">
        <v>46</v>
      </c>
      <c r="F42" s="80" t="s">
        <v>47</v>
      </c>
      <c r="G42" s="68">
        <f>1/TAN(RADIANS(61)-RADIANS(G11))</f>
        <v>3.0776835371752549</v>
      </c>
    </row>
    <row r="43" spans="1:26 16382:16383" x14ac:dyDescent="0.25">
      <c r="A43" s="212" t="s">
        <v>48</v>
      </c>
      <c r="B43" s="213"/>
      <c r="C43" s="213"/>
      <c r="D43" s="213"/>
      <c r="E43" s="80" t="s">
        <v>49</v>
      </c>
      <c r="F43" s="80" t="s">
        <v>44</v>
      </c>
      <c r="G43" s="68">
        <f>SIN(RADIANS(G10))*2</f>
        <v>1.4142135623730949</v>
      </c>
      <c r="H43" s="43" t="s">
        <v>439</v>
      </c>
    </row>
    <row r="44" spans="1:26 16382:16383" x14ac:dyDescent="0.25">
      <c r="A44" s="211" t="s">
        <v>42</v>
      </c>
      <c r="B44" s="211"/>
      <c r="C44" s="211"/>
      <c r="D44" s="211"/>
      <c r="E44" s="80" t="s">
        <v>43</v>
      </c>
      <c r="F44" s="80" t="s">
        <v>44</v>
      </c>
      <c r="G44" s="68">
        <f>G42*G43</f>
        <v>4.3525017989656449</v>
      </c>
    </row>
    <row r="47" spans="1:26 16382:16383" ht="15.75" x14ac:dyDescent="0.25">
      <c r="A47" s="223" t="s">
        <v>50</v>
      </c>
      <c r="B47" s="223"/>
      <c r="C47" s="223"/>
      <c r="D47" s="223"/>
    </row>
    <row r="48" spans="1:26 16382:16383" x14ac:dyDescent="0.25">
      <c r="A48" s="218" t="s">
        <v>96</v>
      </c>
      <c r="B48" s="219"/>
      <c r="C48" s="219"/>
      <c r="D48" s="220"/>
      <c r="E48" s="105" t="s">
        <v>269</v>
      </c>
      <c r="F48" s="106" t="s">
        <v>95</v>
      </c>
      <c r="G48" s="104" t="s">
        <v>97</v>
      </c>
    </row>
    <row r="49" spans="1:9" x14ac:dyDescent="0.25">
      <c r="A49" s="228" t="s">
        <v>53</v>
      </c>
      <c r="B49" s="228"/>
      <c r="C49" s="228"/>
      <c r="D49" s="228"/>
      <c r="E49" s="118" t="s">
        <v>52</v>
      </c>
      <c r="F49" s="116" t="s">
        <v>51</v>
      </c>
      <c r="G49" s="117">
        <f ca="1">500*G36*G37</f>
        <v>18700</v>
      </c>
      <c r="H49" s="43" t="s">
        <v>439</v>
      </c>
    </row>
    <row r="52" spans="1:9" ht="15.75" x14ac:dyDescent="0.25">
      <c r="A52" s="229" t="s">
        <v>54</v>
      </c>
      <c r="B52" s="229"/>
      <c r="C52" s="229"/>
      <c r="D52" s="229"/>
    </row>
    <row r="53" spans="1:9" x14ac:dyDescent="0.25">
      <c r="A53" s="224" t="s">
        <v>96</v>
      </c>
      <c r="B53" s="225"/>
      <c r="C53" s="225"/>
      <c r="D53" s="226"/>
      <c r="E53" s="50" t="s">
        <v>269</v>
      </c>
      <c r="F53" s="51" t="s">
        <v>95</v>
      </c>
      <c r="G53" s="48" t="s">
        <v>97</v>
      </c>
    </row>
    <row r="54" spans="1:9" x14ac:dyDescent="0.25">
      <c r="A54" s="227" t="s">
        <v>277</v>
      </c>
      <c r="B54" s="227"/>
      <c r="C54" s="227"/>
      <c r="D54" s="227"/>
      <c r="E54" s="135" t="s">
        <v>55</v>
      </c>
      <c r="F54" s="136" t="s">
        <v>83</v>
      </c>
      <c r="G54" s="58">
        <f ca="1">0.15*G35</f>
        <v>5.4529883482421031</v>
      </c>
      <c r="H54" s="43" t="s">
        <v>439</v>
      </c>
    </row>
    <row r="57" spans="1:9" ht="15.75" x14ac:dyDescent="0.25">
      <c r="A57" s="223" t="s">
        <v>296</v>
      </c>
      <c r="B57" s="223"/>
      <c r="C57" s="223"/>
      <c r="D57" s="223"/>
    </row>
    <row r="58" spans="1:9" x14ac:dyDescent="0.25">
      <c r="A58" s="218" t="s">
        <v>96</v>
      </c>
      <c r="B58" s="219"/>
      <c r="C58" s="219"/>
      <c r="D58" s="220"/>
      <c r="E58" s="105" t="s">
        <v>269</v>
      </c>
      <c r="F58" s="106" t="s">
        <v>95</v>
      </c>
      <c r="G58" s="104" t="s">
        <v>97</v>
      </c>
    </row>
    <row r="59" spans="1:9" x14ac:dyDescent="0.25">
      <c r="A59" s="211" t="s">
        <v>57</v>
      </c>
      <c r="B59" s="211"/>
      <c r="C59" s="211"/>
      <c r="D59" s="211"/>
      <c r="E59" s="137" t="s">
        <v>56</v>
      </c>
      <c r="F59" s="137" t="s">
        <v>58</v>
      </c>
      <c r="G59" s="67">
        <f ca="1">50*G35</f>
        <v>1817.6627827473676</v>
      </c>
      <c r="H59" s="43" t="s">
        <v>439</v>
      </c>
    </row>
    <row r="60" spans="1:9" x14ac:dyDescent="0.25">
      <c r="A60" s="211" t="s">
        <v>59</v>
      </c>
      <c r="B60" s="211"/>
      <c r="C60" s="211"/>
      <c r="D60" s="211"/>
      <c r="E60" s="137" t="s">
        <v>60</v>
      </c>
      <c r="F60" s="137" t="s">
        <v>58</v>
      </c>
      <c r="G60" s="67">
        <f ca="1">180*G35</f>
        <v>6543.5860178905241</v>
      </c>
      <c r="H60" s="43" t="s">
        <v>439</v>
      </c>
    </row>
    <row r="61" spans="1:9" x14ac:dyDescent="0.25">
      <c r="A61" s="211" t="s">
        <v>61</v>
      </c>
      <c r="B61" s="211"/>
      <c r="C61" s="211"/>
      <c r="D61" s="211"/>
      <c r="E61" s="137" t="s">
        <v>62</v>
      </c>
      <c r="F61" s="137" t="s">
        <v>58</v>
      </c>
      <c r="G61" s="138">
        <v>2000</v>
      </c>
      <c r="I61" s="38" t="s">
        <v>316</v>
      </c>
    </row>
    <row r="64" spans="1:9" ht="15" customHeight="1" x14ac:dyDescent="0.25">
      <c r="A64" s="157" t="s">
        <v>295</v>
      </c>
      <c r="B64" s="158"/>
      <c r="C64" s="158"/>
      <c r="D64" s="159"/>
    </row>
    <row r="65" spans="1:13" x14ac:dyDescent="0.25">
      <c r="A65" s="240" t="s">
        <v>297</v>
      </c>
      <c r="B65" s="241"/>
      <c r="C65" s="241"/>
      <c r="D65" s="242"/>
      <c r="E65" s="96"/>
      <c r="F65" s="96"/>
      <c r="G65" s="96"/>
    </row>
    <row r="66" spans="1:13" x14ac:dyDescent="0.25">
      <c r="A66" s="237" t="s">
        <v>96</v>
      </c>
      <c r="B66" s="238"/>
      <c r="C66" s="238"/>
      <c r="D66" s="239"/>
      <c r="E66" s="105" t="s">
        <v>269</v>
      </c>
      <c r="F66" s="106" t="s">
        <v>95</v>
      </c>
      <c r="G66" s="104" t="s">
        <v>97</v>
      </c>
    </row>
    <row r="67" spans="1:13" x14ac:dyDescent="0.25">
      <c r="A67" s="230" t="s">
        <v>298</v>
      </c>
      <c r="B67" s="230"/>
      <c r="C67" s="230"/>
      <c r="D67" s="230"/>
      <c r="E67" s="137" t="s">
        <v>47</v>
      </c>
      <c r="F67" s="137" t="s">
        <v>44</v>
      </c>
      <c r="G67" s="134">
        <v>50</v>
      </c>
    </row>
    <row r="68" spans="1:13" x14ac:dyDescent="0.25">
      <c r="A68" s="230" t="s">
        <v>299</v>
      </c>
      <c r="B68" s="230"/>
      <c r="C68" s="230"/>
      <c r="D68" s="230"/>
      <c r="E68" s="137" t="s">
        <v>47</v>
      </c>
      <c r="F68" s="137" t="s">
        <v>300</v>
      </c>
      <c r="G68" s="139">
        <v>40</v>
      </c>
      <c r="H68" s="43" t="s">
        <v>439</v>
      </c>
      <c r="I68" s="38" t="s">
        <v>310</v>
      </c>
    </row>
    <row r="69" spans="1:13" x14ac:dyDescent="0.25">
      <c r="A69" s="230" t="s">
        <v>302</v>
      </c>
      <c r="B69" s="230"/>
      <c r="C69" s="230"/>
      <c r="D69" s="230"/>
      <c r="E69" s="137" t="s">
        <v>47</v>
      </c>
      <c r="F69" s="137" t="s">
        <v>90</v>
      </c>
      <c r="G69" s="68">
        <f>10*(PI()*G68^2*0.25)/10000</f>
        <v>1.2566370614359172</v>
      </c>
      <c r="H69" s="43" t="s">
        <v>439</v>
      </c>
      <c r="I69" s="38" t="s">
        <v>311</v>
      </c>
    </row>
    <row r="70" spans="1:13" x14ac:dyDescent="0.25">
      <c r="A70" s="230" t="s">
        <v>301</v>
      </c>
      <c r="B70" s="230"/>
      <c r="C70" s="230"/>
      <c r="D70" s="230"/>
      <c r="E70" s="137" t="s">
        <v>47</v>
      </c>
      <c r="F70" s="137" t="s">
        <v>58</v>
      </c>
      <c r="G70" s="68">
        <v>67</v>
      </c>
      <c r="H70" s="43" t="s">
        <v>439</v>
      </c>
    </row>
    <row r="71" spans="1:13" x14ac:dyDescent="0.25">
      <c r="A71" s="230" t="s">
        <v>303</v>
      </c>
      <c r="B71" s="230"/>
      <c r="C71" s="230"/>
      <c r="D71" s="230"/>
      <c r="E71" s="137" t="s">
        <v>47</v>
      </c>
      <c r="F71" s="137" t="s">
        <v>305</v>
      </c>
      <c r="G71" s="68">
        <f ca="1">G37</f>
        <v>20</v>
      </c>
    </row>
    <row r="72" spans="1:13" x14ac:dyDescent="0.25">
      <c r="A72" s="230" t="s">
        <v>306</v>
      </c>
      <c r="B72" s="230"/>
      <c r="C72" s="230"/>
      <c r="D72" s="230"/>
      <c r="E72" s="137" t="s">
        <v>47</v>
      </c>
      <c r="F72" s="137" t="s">
        <v>304</v>
      </c>
      <c r="G72" s="134">
        <v>1.4</v>
      </c>
      <c r="H72" s="43" t="s">
        <v>439</v>
      </c>
      <c r="I72" s="38" t="s">
        <v>309</v>
      </c>
    </row>
    <row r="73" spans="1:13" x14ac:dyDescent="0.25">
      <c r="A73" s="230" t="s">
        <v>307</v>
      </c>
      <c r="B73" s="230"/>
      <c r="C73" s="230"/>
      <c r="D73" s="230"/>
      <c r="E73" s="137" t="s">
        <v>47</v>
      </c>
      <c r="F73" s="137" t="s">
        <v>58</v>
      </c>
      <c r="G73" s="68">
        <f ca="1">G72*G71</f>
        <v>28</v>
      </c>
    </row>
    <row r="74" spans="1:13" x14ac:dyDescent="0.25">
      <c r="A74" s="230" t="s">
        <v>63</v>
      </c>
      <c r="B74" s="230"/>
      <c r="C74" s="230"/>
      <c r="D74" s="230"/>
      <c r="E74" s="137" t="s">
        <v>62</v>
      </c>
      <c r="F74" s="137" t="s">
        <v>58</v>
      </c>
      <c r="G74" s="68">
        <f ca="1">G70+G73</f>
        <v>95</v>
      </c>
    </row>
    <row r="77" spans="1:13" x14ac:dyDescent="0.25">
      <c r="A77" s="218" t="s">
        <v>96</v>
      </c>
      <c r="B77" s="219"/>
      <c r="C77" s="219"/>
      <c r="D77" s="220"/>
      <c r="E77" s="105" t="s">
        <v>269</v>
      </c>
      <c r="F77" s="106" t="s">
        <v>95</v>
      </c>
      <c r="G77" s="104" t="s">
        <v>97</v>
      </c>
    </row>
    <row r="78" spans="1:13" ht="20.100000000000001" customHeight="1" x14ac:dyDescent="0.25">
      <c r="A78" s="232" t="s">
        <v>64</v>
      </c>
      <c r="B78" s="232"/>
      <c r="C78" s="232"/>
      <c r="D78" s="232"/>
      <c r="E78" s="140" t="s">
        <v>65</v>
      </c>
      <c r="F78" s="140" t="s">
        <v>47</v>
      </c>
      <c r="G78" s="141">
        <v>4.2999999999999997E-2</v>
      </c>
      <c r="H78" s="119" t="s">
        <v>439</v>
      </c>
      <c r="M78" s="115" t="s">
        <v>308</v>
      </c>
    </row>
    <row r="79" spans="1:13" ht="20.100000000000001" customHeight="1" x14ac:dyDescent="0.25">
      <c r="A79" s="232" t="s">
        <v>69</v>
      </c>
      <c r="B79" s="232"/>
      <c r="C79" s="232"/>
      <c r="D79" s="232"/>
      <c r="E79" s="140" t="s">
        <v>312</v>
      </c>
      <c r="F79" s="140" t="s">
        <v>314</v>
      </c>
      <c r="G79" s="142">
        <v>3.7</v>
      </c>
      <c r="H79" s="119" t="s">
        <v>439</v>
      </c>
      <c r="I79" s="115" t="s">
        <v>317</v>
      </c>
    </row>
    <row r="80" spans="1:13" ht="20.100000000000001" customHeight="1" x14ac:dyDescent="0.25">
      <c r="A80" s="232" t="s">
        <v>68</v>
      </c>
      <c r="B80" s="232"/>
      <c r="C80" s="232"/>
      <c r="D80" s="232"/>
      <c r="E80" s="140" t="s">
        <v>313</v>
      </c>
      <c r="F80" s="140" t="s">
        <v>314</v>
      </c>
      <c r="G80" s="142">
        <v>2.5</v>
      </c>
      <c r="H80" s="119" t="s">
        <v>439</v>
      </c>
      <c r="I80" s="115" t="s">
        <v>317</v>
      </c>
    </row>
    <row r="81" spans="1:8" ht="30" customHeight="1" x14ac:dyDescent="0.25">
      <c r="A81" s="232" t="s">
        <v>66</v>
      </c>
      <c r="B81" s="232"/>
      <c r="C81" s="232"/>
      <c r="D81" s="232"/>
      <c r="E81" s="140" t="s">
        <v>67</v>
      </c>
      <c r="F81" s="140" t="s">
        <v>47</v>
      </c>
      <c r="G81" s="81">
        <f>G79/(G79-G80)</f>
        <v>3.083333333333333</v>
      </c>
      <c r="H81" s="119" t="s">
        <v>439</v>
      </c>
    </row>
    <row r="82" spans="1:8" ht="30" customHeight="1" x14ac:dyDescent="0.25">
      <c r="A82" s="232" t="s">
        <v>70</v>
      </c>
      <c r="B82" s="232"/>
      <c r="C82" s="232"/>
      <c r="D82" s="232"/>
      <c r="E82" s="140" t="s">
        <v>315</v>
      </c>
      <c r="F82" s="140" t="s">
        <v>58</v>
      </c>
      <c r="G82" s="81">
        <f ca="1">G74*G78*G81</f>
        <v>12.595416666666665</v>
      </c>
      <c r="H82" s="119" t="s">
        <v>439</v>
      </c>
    </row>
  </sheetData>
  <sheetProtection sheet="1" objects="1" scenarios="1" insertColumns="0" insertRows="0" deleteColumns="0" deleteRows="0"/>
  <mergeCells count="95">
    <mergeCell ref="A74:D74"/>
    <mergeCell ref="A67:D67"/>
    <mergeCell ref="A68:D68"/>
    <mergeCell ref="A69:D69"/>
    <mergeCell ref="A70:D70"/>
    <mergeCell ref="A71:D71"/>
    <mergeCell ref="A72:D72"/>
    <mergeCell ref="E3:G3"/>
    <mergeCell ref="A4:D4"/>
    <mergeCell ref="E4:G4"/>
    <mergeCell ref="A7:D7"/>
    <mergeCell ref="A77:D77"/>
    <mergeCell ref="A64:D64"/>
    <mergeCell ref="A66:D66"/>
    <mergeCell ref="A65:D65"/>
    <mergeCell ref="A73:D73"/>
    <mergeCell ref="A61:D61"/>
    <mergeCell ref="A57:D57"/>
    <mergeCell ref="A58:D58"/>
    <mergeCell ref="A59:D59"/>
    <mergeCell ref="A60:D60"/>
    <mergeCell ref="A40:D40"/>
    <mergeCell ref="A32:D32"/>
    <mergeCell ref="A78:D78"/>
    <mergeCell ref="A79:D79"/>
    <mergeCell ref="A80:D80"/>
    <mergeCell ref="A81:D81"/>
    <mergeCell ref="A82:D82"/>
    <mergeCell ref="A2:D2"/>
    <mergeCell ref="A14:D14"/>
    <mergeCell ref="A10:D10"/>
    <mergeCell ref="A53:D53"/>
    <mergeCell ref="A54:D54"/>
    <mergeCell ref="A47:D47"/>
    <mergeCell ref="A48:D48"/>
    <mergeCell ref="A49:D49"/>
    <mergeCell ref="A52:D52"/>
    <mergeCell ref="A41:D41"/>
    <mergeCell ref="A42:D42"/>
    <mergeCell ref="A43:D43"/>
    <mergeCell ref="A44:D44"/>
    <mergeCell ref="A36:D36"/>
    <mergeCell ref="A37:D37"/>
    <mergeCell ref="A31:D31"/>
    <mergeCell ref="A33:D33"/>
    <mergeCell ref="A3:D3"/>
    <mergeCell ref="A20:D20"/>
    <mergeCell ref="A5:D5"/>
    <mergeCell ref="A6:D6"/>
    <mergeCell ref="A27:D27"/>
    <mergeCell ref="A15:D15"/>
    <mergeCell ref="A16:D17"/>
    <mergeCell ref="A24:D24"/>
    <mergeCell ref="A25:D25"/>
    <mergeCell ref="A26:D26"/>
    <mergeCell ref="A8:D8"/>
    <mergeCell ref="A9:D9"/>
    <mergeCell ref="A11:D11"/>
    <mergeCell ref="S18:S19"/>
    <mergeCell ref="R18:R19"/>
    <mergeCell ref="Q18:Q19"/>
    <mergeCell ref="A35:D35"/>
    <mergeCell ref="P18:P19"/>
    <mergeCell ref="O18:O19"/>
    <mergeCell ref="N18:N19"/>
    <mergeCell ref="M18:M19"/>
    <mergeCell ref="L18:L19"/>
    <mergeCell ref="K18:K19"/>
    <mergeCell ref="A18:D19"/>
    <mergeCell ref="A28:D28"/>
    <mergeCell ref="A34:D34"/>
    <mergeCell ref="A21:D21"/>
    <mergeCell ref="A22:D22"/>
    <mergeCell ref="A23:D23"/>
    <mergeCell ref="N16:N17"/>
    <mergeCell ref="O16:O17"/>
    <mergeCell ref="Q16:Q17"/>
    <mergeCell ref="R16:R17"/>
    <mergeCell ref="S16:S17"/>
    <mergeCell ref="P16:P17"/>
    <mergeCell ref="G16:G17"/>
    <mergeCell ref="H16:H17"/>
    <mergeCell ref="I16:I17"/>
    <mergeCell ref="E16:E17"/>
    <mergeCell ref="F16:F17"/>
    <mergeCell ref="I18:I19"/>
    <mergeCell ref="H18:H19"/>
    <mergeCell ref="G18:G19"/>
    <mergeCell ref="E18:E19"/>
    <mergeCell ref="F18:F19"/>
    <mergeCell ref="K16:K17"/>
    <mergeCell ref="L16:L17"/>
    <mergeCell ref="M16:M17"/>
    <mergeCell ref="J16:J17"/>
    <mergeCell ref="J18:J19"/>
  </mergeCells>
  <dataValidations disablePrompts="1" count="2">
    <dataValidation type="list" allowBlank="1" showInputMessage="1" showErrorMessage="1" sqref="G10" xr:uid="{7AE04CCA-4433-4B93-A1D4-E2520294ED13}">
      <formula1>$XFC$9:$XFC$26</formula1>
    </dataValidation>
    <dataValidation type="list" allowBlank="1" showInputMessage="1" showErrorMessage="1" sqref="G11" xr:uid="{9076C4D5-1787-43A8-976F-7CD06EE2CF71}">
      <formula1>$XFB$30:$XFB$41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1462DE0-58AD-41F3-A75F-DAC16C57373F}">
          <x14:formula1>
            <xm:f>'Modelos de captadores'!$B$3:$B$9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12FC-F1BE-4969-A610-233D27107CF4}">
  <sheetPr>
    <tabColor rgb="FFA6E7F6"/>
  </sheetPr>
  <dimension ref="A1:XET58"/>
  <sheetViews>
    <sheetView zoomScaleNormal="100" workbookViewId="0"/>
  </sheetViews>
  <sheetFormatPr baseColWidth="10" defaultColWidth="11.5703125" defaultRowHeight="12.75" x14ac:dyDescent="0.2"/>
  <cols>
    <col min="1" max="1" width="40.140625" style="52" customWidth="1"/>
    <col min="2" max="2" width="17.7109375" style="52" bestFit="1" customWidth="1"/>
    <col min="3" max="4" width="19" style="52" bestFit="1" customWidth="1"/>
    <col min="5" max="5" width="13.140625" style="52" bestFit="1" customWidth="1"/>
    <col min="6" max="6" width="15.140625" style="52" customWidth="1"/>
    <col min="7" max="7" width="13.140625" style="52" bestFit="1" customWidth="1"/>
    <col min="8" max="8" width="11.5703125" style="52"/>
    <col min="9" max="9" width="13.140625" style="52" bestFit="1" customWidth="1"/>
    <col min="10" max="16384" width="11.5703125" style="52"/>
  </cols>
  <sheetData>
    <row r="1" spans="1:7 16372:16374" ht="15.75" x14ac:dyDescent="0.2">
      <c r="A1" s="92" t="s">
        <v>325</v>
      </c>
      <c r="B1" s="60"/>
    </row>
    <row r="2" spans="1:7 16372:16374" ht="17.45" customHeight="1" x14ac:dyDescent="0.2">
      <c r="A2" s="93" t="s">
        <v>358</v>
      </c>
      <c r="B2" s="94" t="s">
        <v>95</v>
      </c>
      <c r="C2" s="94" t="s">
        <v>97</v>
      </c>
    </row>
    <row r="3" spans="1:7 16372:16374" ht="15" customHeight="1" x14ac:dyDescent="0.2">
      <c r="A3" s="108" t="s">
        <v>350</v>
      </c>
      <c r="B3" s="61" t="s">
        <v>3</v>
      </c>
      <c r="C3" s="53">
        <v>60</v>
      </c>
    </row>
    <row r="4" spans="1:7 16372:16374" ht="25.5" x14ac:dyDescent="0.2">
      <c r="A4" s="108" t="s">
        <v>359</v>
      </c>
      <c r="B4" s="61" t="s">
        <v>3</v>
      </c>
      <c r="C4" s="53">
        <v>60</v>
      </c>
    </row>
    <row r="5" spans="1:7 16372:16374" ht="17.45" customHeight="1" x14ac:dyDescent="0.2"/>
    <row r="6" spans="1:7 16372:16374" ht="18" customHeight="1" x14ac:dyDescent="0.2">
      <c r="A6" s="93" t="s">
        <v>360</v>
      </c>
      <c r="B6" s="94" t="s">
        <v>95</v>
      </c>
      <c r="C6" s="94" t="s">
        <v>97</v>
      </c>
    </row>
    <row r="7" spans="1:7 16372:16374" ht="17.45" customHeight="1" x14ac:dyDescent="0.2">
      <c r="A7" s="108" t="s">
        <v>366</v>
      </c>
      <c r="B7" s="62" t="s">
        <v>47</v>
      </c>
      <c r="C7" s="53">
        <v>3.33</v>
      </c>
    </row>
    <row r="8" spans="1:7 16372:16374" ht="17.45" customHeight="1" x14ac:dyDescent="0.2">
      <c r="A8" s="108" t="s">
        <v>351</v>
      </c>
      <c r="B8" s="63" t="s">
        <v>47</v>
      </c>
      <c r="C8" s="53">
        <v>0.92</v>
      </c>
    </row>
    <row r="9" spans="1:7 16372:16374" x14ac:dyDescent="0.2">
      <c r="B9" s="54"/>
    </row>
    <row r="10" spans="1:7 16372:16374" ht="45" x14ac:dyDescent="0.2">
      <c r="A10" s="111" t="s">
        <v>352</v>
      </c>
      <c r="B10" s="104" t="s">
        <v>337</v>
      </c>
      <c r="C10" s="104" t="s">
        <v>338</v>
      </c>
      <c r="XER10" s="55" t="s">
        <v>353</v>
      </c>
      <c r="XES10" s="55">
        <v>1.1819999999999999</v>
      </c>
      <c r="XET10" s="55">
        <v>0.311</v>
      </c>
    </row>
    <row r="11" spans="1:7 16372:16374" ht="15" customHeight="1" x14ac:dyDescent="0.2">
      <c r="A11" s="109" t="s">
        <v>355</v>
      </c>
      <c r="B11" s="64">
        <f>INDEX(XES10:XES14,MATCH(A11,XER10:XER14,0),1)</f>
        <v>1.1950000000000001</v>
      </c>
      <c r="C11" s="64">
        <f>INDEX(XET10:XET14,MATCH(A11,XER10:XER14,0),1)</f>
        <v>0.252</v>
      </c>
      <c r="XER11" s="55" t="s">
        <v>354</v>
      </c>
      <c r="XES11" s="55">
        <v>1.204</v>
      </c>
      <c r="XET11" s="55">
        <v>0.254</v>
      </c>
    </row>
    <row r="12" spans="1:7 16372:16374" x14ac:dyDescent="0.2">
      <c r="XER12" s="55" t="s">
        <v>355</v>
      </c>
      <c r="XES12" s="55">
        <v>1.1950000000000001</v>
      </c>
      <c r="XET12" s="55">
        <v>0.252</v>
      </c>
    </row>
    <row r="13" spans="1:7 16372:16374" x14ac:dyDescent="0.2">
      <c r="A13" s="56"/>
      <c r="XER13" s="55" t="s">
        <v>356</v>
      </c>
      <c r="XES13" s="55">
        <v>1.0369999999999999</v>
      </c>
      <c r="XET13" s="55">
        <v>1.7999999999999999E-2</v>
      </c>
    </row>
    <row r="14" spans="1:7 16372:16374" s="95" customFormat="1" ht="30" customHeight="1" x14ac:dyDescent="0.25">
      <c r="A14" s="97" t="s">
        <v>327</v>
      </c>
      <c r="XER14" s="96" t="s">
        <v>357</v>
      </c>
      <c r="XES14" s="96">
        <v>1.113</v>
      </c>
      <c r="XET14" s="96">
        <v>1.7999999999999999E-2</v>
      </c>
    </row>
    <row r="15" spans="1:7 16372:16374" ht="30" x14ac:dyDescent="0.2">
      <c r="A15" s="112" t="s">
        <v>328</v>
      </c>
      <c r="B15" s="113" t="s">
        <v>329</v>
      </c>
      <c r="C15" s="113" t="s">
        <v>361</v>
      </c>
      <c r="D15" s="113" t="s">
        <v>362</v>
      </c>
      <c r="E15" s="113" t="s">
        <v>363</v>
      </c>
      <c r="F15" s="113" t="s">
        <v>451</v>
      </c>
      <c r="G15" s="113" t="s">
        <v>364</v>
      </c>
    </row>
    <row r="16" spans="1:7 16372:16374" ht="15" customHeight="1" x14ac:dyDescent="0.2">
      <c r="A16" s="90" t="s">
        <v>5</v>
      </c>
      <c r="B16" s="57">
        <v>31</v>
      </c>
      <c r="C16" s="65">
        <f>Demanda!F30</f>
        <v>1764</v>
      </c>
      <c r="D16" s="65">
        <f>B16*C16</f>
        <v>54684</v>
      </c>
      <c r="E16" s="58">
        <f t="shared" ref="E16:E27" si="0">$C$3</f>
        <v>60</v>
      </c>
      <c r="F16" s="58">
        <f>Demanda!F33</f>
        <v>10</v>
      </c>
      <c r="G16" s="65">
        <f>D16*1.16*(E16-F16)/1000</f>
        <v>3171.6719999999996</v>
      </c>
    </row>
    <row r="17" spans="1:7" ht="15" customHeight="1" x14ac:dyDescent="0.2">
      <c r="A17" s="90" t="s">
        <v>6</v>
      </c>
      <c r="B17" s="57">
        <v>28</v>
      </c>
      <c r="C17" s="65">
        <f>Demanda!G30</f>
        <v>1764</v>
      </c>
      <c r="D17" s="65">
        <f t="shared" ref="D17:D27" si="1">B17*C17</f>
        <v>49392</v>
      </c>
      <c r="E17" s="58">
        <f t="shared" si="0"/>
        <v>60</v>
      </c>
      <c r="F17" s="58">
        <f>Demanda!G33</f>
        <v>10</v>
      </c>
      <c r="G17" s="65">
        <f t="shared" ref="G17:G27" si="2">D17*1.16*(E17-F17)/1000</f>
        <v>2864.7359999999994</v>
      </c>
    </row>
    <row r="18" spans="1:7" ht="15" customHeight="1" x14ac:dyDescent="0.2">
      <c r="A18" s="90" t="s">
        <v>7</v>
      </c>
      <c r="B18" s="57">
        <v>31</v>
      </c>
      <c r="C18" s="65">
        <f>Demanda!H30</f>
        <v>1764</v>
      </c>
      <c r="D18" s="65">
        <f t="shared" si="1"/>
        <v>54684</v>
      </c>
      <c r="E18" s="58">
        <f t="shared" si="0"/>
        <v>60</v>
      </c>
      <c r="F18" s="58">
        <f>Demanda!H33</f>
        <v>11</v>
      </c>
      <c r="G18" s="65">
        <f t="shared" si="2"/>
        <v>3108.2385599999998</v>
      </c>
    </row>
    <row r="19" spans="1:7" ht="15" customHeight="1" x14ac:dyDescent="0.2">
      <c r="A19" s="90" t="s">
        <v>8</v>
      </c>
      <c r="B19" s="57">
        <v>30</v>
      </c>
      <c r="C19" s="65">
        <f>Demanda!I30</f>
        <v>1764</v>
      </c>
      <c r="D19" s="65">
        <f t="shared" si="1"/>
        <v>52920</v>
      </c>
      <c r="E19" s="58">
        <f t="shared" si="0"/>
        <v>60</v>
      </c>
      <c r="F19" s="58">
        <f>Demanda!I33</f>
        <v>12</v>
      </c>
      <c r="G19" s="65">
        <f t="shared" si="2"/>
        <v>2946.5855999999994</v>
      </c>
    </row>
    <row r="20" spans="1:7" ht="15" customHeight="1" x14ac:dyDescent="0.2">
      <c r="A20" s="90" t="s">
        <v>9</v>
      </c>
      <c r="B20" s="57">
        <v>31</v>
      </c>
      <c r="C20" s="65">
        <f>Demanda!J30</f>
        <v>1764</v>
      </c>
      <c r="D20" s="65">
        <f t="shared" si="1"/>
        <v>54684</v>
      </c>
      <c r="E20" s="58">
        <f t="shared" si="0"/>
        <v>60</v>
      </c>
      <c r="F20" s="58">
        <f>Demanda!J33</f>
        <v>13</v>
      </c>
      <c r="G20" s="65">
        <f t="shared" si="2"/>
        <v>2981.3716799999997</v>
      </c>
    </row>
    <row r="21" spans="1:7" ht="15" customHeight="1" x14ac:dyDescent="0.2">
      <c r="A21" s="90" t="s">
        <v>10</v>
      </c>
      <c r="B21" s="57">
        <v>30</v>
      </c>
      <c r="C21" s="65">
        <f>Demanda!K30</f>
        <v>1764</v>
      </c>
      <c r="D21" s="65">
        <f t="shared" si="1"/>
        <v>52920</v>
      </c>
      <c r="E21" s="58">
        <f t="shared" si="0"/>
        <v>60</v>
      </c>
      <c r="F21" s="58">
        <f>Demanda!K33</f>
        <v>14</v>
      </c>
      <c r="G21" s="65">
        <f t="shared" si="2"/>
        <v>2823.8111999999996</v>
      </c>
    </row>
    <row r="22" spans="1:7" ht="15" customHeight="1" x14ac:dyDescent="0.2">
      <c r="A22" s="90" t="s">
        <v>11</v>
      </c>
      <c r="B22" s="57">
        <v>31</v>
      </c>
      <c r="C22" s="65">
        <f>Demanda!L30</f>
        <v>1764</v>
      </c>
      <c r="D22" s="65">
        <f t="shared" si="1"/>
        <v>54684</v>
      </c>
      <c r="E22" s="58">
        <f t="shared" si="0"/>
        <v>60</v>
      </c>
      <c r="F22" s="58">
        <f>Demanda!L33</f>
        <v>16</v>
      </c>
      <c r="G22" s="65">
        <f t="shared" si="2"/>
        <v>2791.0713599999999</v>
      </c>
    </row>
    <row r="23" spans="1:7" ht="15" customHeight="1" x14ac:dyDescent="0.2">
      <c r="A23" s="90" t="s">
        <v>12</v>
      </c>
      <c r="B23" s="57">
        <v>31</v>
      </c>
      <c r="C23" s="65">
        <f>Demanda!M30</f>
        <v>1764</v>
      </c>
      <c r="D23" s="65">
        <f t="shared" si="1"/>
        <v>54684</v>
      </c>
      <c r="E23" s="58">
        <f t="shared" si="0"/>
        <v>60</v>
      </c>
      <c r="F23" s="58">
        <f>Demanda!M33</f>
        <v>16</v>
      </c>
      <c r="G23" s="65">
        <f t="shared" si="2"/>
        <v>2791.0713599999999</v>
      </c>
    </row>
    <row r="24" spans="1:7" ht="15" customHeight="1" x14ac:dyDescent="0.2">
      <c r="A24" s="90" t="s">
        <v>13</v>
      </c>
      <c r="B24" s="57">
        <v>30</v>
      </c>
      <c r="C24" s="65">
        <f>Demanda!N30</f>
        <v>1764</v>
      </c>
      <c r="D24" s="65">
        <f t="shared" si="1"/>
        <v>52920</v>
      </c>
      <c r="E24" s="58">
        <f t="shared" si="0"/>
        <v>60</v>
      </c>
      <c r="F24" s="58">
        <f>Demanda!N33</f>
        <v>15</v>
      </c>
      <c r="G24" s="65">
        <f t="shared" si="2"/>
        <v>2762.424</v>
      </c>
    </row>
    <row r="25" spans="1:7" ht="15" customHeight="1" x14ac:dyDescent="0.2">
      <c r="A25" s="90" t="s">
        <v>14</v>
      </c>
      <c r="B25" s="57">
        <v>31</v>
      </c>
      <c r="C25" s="65">
        <f>Demanda!O30</f>
        <v>1764</v>
      </c>
      <c r="D25" s="65">
        <f t="shared" si="1"/>
        <v>54684</v>
      </c>
      <c r="E25" s="58">
        <f t="shared" si="0"/>
        <v>60</v>
      </c>
      <c r="F25" s="58">
        <f>Demanda!O33</f>
        <v>14</v>
      </c>
      <c r="G25" s="65">
        <f t="shared" si="2"/>
        <v>2917.93824</v>
      </c>
    </row>
    <row r="26" spans="1:7" ht="15" customHeight="1" x14ac:dyDescent="0.2">
      <c r="A26" s="90" t="s">
        <v>15</v>
      </c>
      <c r="B26" s="57">
        <v>30</v>
      </c>
      <c r="C26" s="65">
        <f>Demanda!P30</f>
        <v>1764</v>
      </c>
      <c r="D26" s="65">
        <f t="shared" si="1"/>
        <v>52920</v>
      </c>
      <c r="E26" s="58">
        <f t="shared" si="0"/>
        <v>60</v>
      </c>
      <c r="F26" s="58">
        <f>Demanda!P33</f>
        <v>12</v>
      </c>
      <c r="G26" s="65">
        <f t="shared" si="2"/>
        <v>2946.5855999999994</v>
      </c>
    </row>
    <row r="27" spans="1:7" ht="15" customHeight="1" x14ac:dyDescent="0.2">
      <c r="A27" s="90" t="s">
        <v>16</v>
      </c>
      <c r="B27" s="57">
        <v>31</v>
      </c>
      <c r="C27" s="65">
        <f>Demanda!Q30</f>
        <v>1764</v>
      </c>
      <c r="D27" s="65">
        <f t="shared" si="1"/>
        <v>54684</v>
      </c>
      <c r="E27" s="58">
        <f t="shared" si="0"/>
        <v>60</v>
      </c>
      <c r="F27" s="58">
        <f>Demanda!Q33</f>
        <v>11</v>
      </c>
      <c r="G27" s="65">
        <f t="shared" si="2"/>
        <v>3108.2385599999998</v>
      </c>
    </row>
    <row r="28" spans="1:7" ht="15" customHeight="1" x14ac:dyDescent="0.2">
      <c r="A28" s="243" t="s">
        <v>330</v>
      </c>
      <c r="B28" s="243"/>
      <c r="C28" s="243"/>
      <c r="D28" s="243"/>
      <c r="E28" s="243"/>
      <c r="F28" s="243"/>
      <c r="G28" s="65">
        <f>SUM(G16:G27)</f>
        <v>35213.744160000002</v>
      </c>
    </row>
    <row r="30" spans="1:7" ht="31.5" x14ac:dyDescent="0.2">
      <c r="A30" s="92" t="s">
        <v>365</v>
      </c>
      <c r="B30" s="60"/>
      <c r="C30" s="60"/>
      <c r="D30" s="60"/>
      <c r="E30" s="60"/>
      <c r="F30" s="60"/>
      <c r="G30" s="60"/>
    </row>
    <row r="31" spans="1:7" ht="30" x14ac:dyDescent="0.2">
      <c r="A31" s="114" t="s">
        <v>328</v>
      </c>
      <c r="B31" s="104" t="s">
        <v>329</v>
      </c>
      <c r="C31" s="104" t="s">
        <v>361</v>
      </c>
      <c r="D31" s="104" t="s">
        <v>362</v>
      </c>
      <c r="E31" s="104" t="s">
        <v>363</v>
      </c>
      <c r="F31" s="104" t="s">
        <v>451</v>
      </c>
      <c r="G31" s="104" t="s">
        <v>364</v>
      </c>
    </row>
    <row r="32" spans="1:7" ht="15" customHeight="1" x14ac:dyDescent="0.2">
      <c r="A32" s="91" t="s">
        <v>5</v>
      </c>
      <c r="B32" s="66">
        <v>31</v>
      </c>
      <c r="C32" s="67">
        <f>C16</f>
        <v>1764</v>
      </c>
      <c r="D32" s="67">
        <f>D16</f>
        <v>54684</v>
      </c>
      <c r="E32" s="68">
        <f t="shared" ref="E32:E43" si="3">$C$4</f>
        <v>60</v>
      </c>
      <c r="F32" s="68">
        <f t="shared" ref="F32:F43" si="4">$C$3</f>
        <v>60</v>
      </c>
      <c r="G32" s="67">
        <f>D32*1.16*(E32-F32)/1000</f>
        <v>0</v>
      </c>
    </row>
    <row r="33" spans="1:9" ht="15" customHeight="1" x14ac:dyDescent="0.2">
      <c r="A33" s="91" t="s">
        <v>6</v>
      </c>
      <c r="B33" s="66">
        <v>28</v>
      </c>
      <c r="C33" s="67">
        <f t="shared" ref="C33:D33" si="5">C17</f>
        <v>1764</v>
      </c>
      <c r="D33" s="67">
        <f t="shared" si="5"/>
        <v>49392</v>
      </c>
      <c r="E33" s="68">
        <f t="shared" si="3"/>
        <v>60</v>
      </c>
      <c r="F33" s="68">
        <f t="shared" si="4"/>
        <v>60</v>
      </c>
      <c r="G33" s="67">
        <f t="shared" ref="G33:G43" si="6">D33*1.16*(E33-F33)/1000</f>
        <v>0</v>
      </c>
    </row>
    <row r="34" spans="1:9" ht="15" customHeight="1" x14ac:dyDescent="0.2">
      <c r="A34" s="91" t="s">
        <v>7</v>
      </c>
      <c r="B34" s="66">
        <v>31</v>
      </c>
      <c r="C34" s="67">
        <f t="shared" ref="C34:D34" si="7">C18</f>
        <v>1764</v>
      </c>
      <c r="D34" s="67">
        <f t="shared" si="7"/>
        <v>54684</v>
      </c>
      <c r="E34" s="68">
        <f t="shared" si="3"/>
        <v>60</v>
      </c>
      <c r="F34" s="68">
        <f t="shared" si="4"/>
        <v>60</v>
      </c>
      <c r="G34" s="67">
        <f t="shared" si="6"/>
        <v>0</v>
      </c>
    </row>
    <row r="35" spans="1:9" ht="15" customHeight="1" x14ac:dyDescent="0.2">
      <c r="A35" s="91" t="s">
        <v>8</v>
      </c>
      <c r="B35" s="66">
        <v>30</v>
      </c>
      <c r="C35" s="67">
        <f t="shared" ref="C35:D35" si="8">C19</f>
        <v>1764</v>
      </c>
      <c r="D35" s="67">
        <f t="shared" si="8"/>
        <v>52920</v>
      </c>
      <c r="E35" s="68">
        <f t="shared" si="3"/>
        <v>60</v>
      </c>
      <c r="F35" s="68">
        <f t="shared" si="4"/>
        <v>60</v>
      </c>
      <c r="G35" s="67">
        <f t="shared" si="6"/>
        <v>0</v>
      </c>
    </row>
    <row r="36" spans="1:9" ht="15" customHeight="1" x14ac:dyDescent="0.2">
      <c r="A36" s="91" t="s">
        <v>9</v>
      </c>
      <c r="B36" s="66">
        <v>31</v>
      </c>
      <c r="C36" s="67">
        <f t="shared" ref="C36:D36" si="9">C20</f>
        <v>1764</v>
      </c>
      <c r="D36" s="67">
        <f t="shared" si="9"/>
        <v>54684</v>
      </c>
      <c r="E36" s="68">
        <f t="shared" si="3"/>
        <v>60</v>
      </c>
      <c r="F36" s="68">
        <f t="shared" si="4"/>
        <v>60</v>
      </c>
      <c r="G36" s="67">
        <f t="shared" si="6"/>
        <v>0</v>
      </c>
    </row>
    <row r="37" spans="1:9" ht="15" customHeight="1" x14ac:dyDescent="0.2">
      <c r="A37" s="91" t="s">
        <v>10</v>
      </c>
      <c r="B37" s="66">
        <v>30</v>
      </c>
      <c r="C37" s="67">
        <f t="shared" ref="C37:D37" si="10">C21</f>
        <v>1764</v>
      </c>
      <c r="D37" s="67">
        <f t="shared" si="10"/>
        <v>52920</v>
      </c>
      <c r="E37" s="68">
        <f t="shared" si="3"/>
        <v>60</v>
      </c>
      <c r="F37" s="68">
        <f t="shared" si="4"/>
        <v>60</v>
      </c>
      <c r="G37" s="67">
        <f t="shared" si="6"/>
        <v>0</v>
      </c>
    </row>
    <row r="38" spans="1:9" ht="15" customHeight="1" x14ac:dyDescent="0.2">
      <c r="A38" s="91" t="s">
        <v>11</v>
      </c>
      <c r="B38" s="66">
        <v>31</v>
      </c>
      <c r="C38" s="67">
        <f t="shared" ref="C38:D38" si="11">C22</f>
        <v>1764</v>
      </c>
      <c r="D38" s="67">
        <f t="shared" si="11"/>
        <v>54684</v>
      </c>
      <c r="E38" s="68">
        <f t="shared" si="3"/>
        <v>60</v>
      </c>
      <c r="F38" s="68">
        <f t="shared" si="4"/>
        <v>60</v>
      </c>
      <c r="G38" s="67">
        <f t="shared" si="6"/>
        <v>0</v>
      </c>
    </row>
    <row r="39" spans="1:9" ht="15" customHeight="1" x14ac:dyDescent="0.2">
      <c r="A39" s="91" t="s">
        <v>12</v>
      </c>
      <c r="B39" s="66">
        <v>31</v>
      </c>
      <c r="C39" s="67">
        <f t="shared" ref="C39:D39" si="12">C23</f>
        <v>1764</v>
      </c>
      <c r="D39" s="67">
        <f t="shared" si="12"/>
        <v>54684</v>
      </c>
      <c r="E39" s="68">
        <f t="shared" si="3"/>
        <v>60</v>
      </c>
      <c r="F39" s="68">
        <f t="shared" si="4"/>
        <v>60</v>
      </c>
      <c r="G39" s="67">
        <f t="shared" si="6"/>
        <v>0</v>
      </c>
    </row>
    <row r="40" spans="1:9" ht="15" customHeight="1" x14ac:dyDescent="0.2">
      <c r="A40" s="91" t="s">
        <v>13</v>
      </c>
      <c r="B40" s="66">
        <v>30</v>
      </c>
      <c r="C40" s="67">
        <f t="shared" ref="C40:D40" si="13">C24</f>
        <v>1764</v>
      </c>
      <c r="D40" s="67">
        <f t="shared" si="13"/>
        <v>52920</v>
      </c>
      <c r="E40" s="68">
        <f t="shared" si="3"/>
        <v>60</v>
      </c>
      <c r="F40" s="68">
        <f t="shared" si="4"/>
        <v>60</v>
      </c>
      <c r="G40" s="67">
        <f t="shared" si="6"/>
        <v>0</v>
      </c>
    </row>
    <row r="41" spans="1:9" ht="15" customHeight="1" x14ac:dyDescent="0.2">
      <c r="A41" s="91" t="s">
        <v>14</v>
      </c>
      <c r="B41" s="66">
        <v>31</v>
      </c>
      <c r="C41" s="67">
        <f t="shared" ref="C41:D41" si="14">C25</f>
        <v>1764</v>
      </c>
      <c r="D41" s="67">
        <f t="shared" si="14"/>
        <v>54684</v>
      </c>
      <c r="E41" s="68">
        <f t="shared" si="3"/>
        <v>60</v>
      </c>
      <c r="F41" s="68">
        <f t="shared" si="4"/>
        <v>60</v>
      </c>
      <c r="G41" s="67">
        <f t="shared" si="6"/>
        <v>0</v>
      </c>
    </row>
    <row r="42" spans="1:9" ht="15" customHeight="1" x14ac:dyDescent="0.2">
      <c r="A42" s="91" t="s">
        <v>15</v>
      </c>
      <c r="B42" s="66">
        <v>30</v>
      </c>
      <c r="C42" s="67">
        <f t="shared" ref="C42:D42" si="15">C26</f>
        <v>1764</v>
      </c>
      <c r="D42" s="67">
        <f t="shared" si="15"/>
        <v>52920</v>
      </c>
      <c r="E42" s="68">
        <f t="shared" si="3"/>
        <v>60</v>
      </c>
      <c r="F42" s="68">
        <f t="shared" si="4"/>
        <v>60</v>
      </c>
      <c r="G42" s="67">
        <f t="shared" si="6"/>
        <v>0</v>
      </c>
    </row>
    <row r="43" spans="1:9" ht="15" customHeight="1" x14ac:dyDescent="0.2">
      <c r="A43" s="91" t="s">
        <v>16</v>
      </c>
      <c r="B43" s="66">
        <v>31</v>
      </c>
      <c r="C43" s="67">
        <f t="shared" ref="C43:D43" si="16">C27</f>
        <v>1764</v>
      </c>
      <c r="D43" s="67">
        <f t="shared" si="16"/>
        <v>54684</v>
      </c>
      <c r="E43" s="68">
        <f t="shared" si="3"/>
        <v>60</v>
      </c>
      <c r="F43" s="68">
        <f t="shared" si="4"/>
        <v>60</v>
      </c>
      <c r="G43" s="67">
        <f t="shared" si="6"/>
        <v>0</v>
      </c>
    </row>
    <row r="44" spans="1:9" ht="15" customHeight="1" x14ac:dyDescent="0.2">
      <c r="A44" s="244" t="s">
        <v>330</v>
      </c>
      <c r="B44" s="244"/>
      <c r="C44" s="244"/>
      <c r="D44" s="244"/>
      <c r="E44" s="244"/>
      <c r="F44" s="244"/>
      <c r="G44" s="67">
        <f>SUM(G32:G43)</f>
        <v>0</v>
      </c>
    </row>
    <row r="46" spans="1:9" ht="47.25" x14ac:dyDescent="0.2">
      <c r="A46" s="92" t="s">
        <v>331</v>
      </c>
    </row>
    <row r="47" spans="1:9" ht="60" x14ac:dyDescent="0.2">
      <c r="A47" s="114" t="s">
        <v>332</v>
      </c>
      <c r="B47" s="104" t="s">
        <v>333</v>
      </c>
      <c r="C47" s="104" t="s">
        <v>334</v>
      </c>
      <c r="D47" s="104" t="s">
        <v>335</v>
      </c>
      <c r="E47" s="104" t="s">
        <v>336</v>
      </c>
      <c r="F47" s="104" t="s">
        <v>453</v>
      </c>
      <c r="G47" s="104" t="s">
        <v>452</v>
      </c>
      <c r="H47" s="104" t="s">
        <v>338</v>
      </c>
      <c r="I47" s="104" t="s">
        <v>339</v>
      </c>
    </row>
    <row r="48" spans="1:9" ht="15" customHeight="1" x14ac:dyDescent="0.2">
      <c r="A48" s="91" t="s">
        <v>340</v>
      </c>
      <c r="B48" s="68">
        <f>C48/(C48+C49)</f>
        <v>1</v>
      </c>
      <c r="C48" s="67">
        <f>G28</f>
        <v>35213.744160000002</v>
      </c>
      <c r="D48" s="68">
        <f>C7</f>
        <v>3.33</v>
      </c>
      <c r="E48" s="67">
        <f>C48/D48</f>
        <v>10574.697945945947</v>
      </c>
      <c r="F48" s="69">
        <v>1.954</v>
      </c>
      <c r="G48" s="67">
        <f>E48*F48</f>
        <v>20662.959786378382</v>
      </c>
      <c r="H48" s="69">
        <v>0.33100000000000002</v>
      </c>
      <c r="I48" s="67">
        <f>E48*H48</f>
        <v>3500.2250201081088</v>
      </c>
    </row>
    <row r="49" spans="1:9" ht="15" customHeight="1" x14ac:dyDescent="0.2">
      <c r="A49" s="91" t="str">
        <f>"Caldera de "&amp;A11</f>
        <v>Caldera de Gas natural</v>
      </c>
      <c r="B49" s="68">
        <f>C49/(C48+C49)</f>
        <v>0</v>
      </c>
      <c r="C49" s="67">
        <f>G44</f>
        <v>0</v>
      </c>
      <c r="D49" s="68">
        <f>C8</f>
        <v>0.92</v>
      </c>
      <c r="E49" s="67">
        <f>C49/D49</f>
        <v>0</v>
      </c>
      <c r="F49" s="69">
        <f>B11</f>
        <v>1.1950000000000001</v>
      </c>
      <c r="G49" s="67">
        <f>E49*F49</f>
        <v>0</v>
      </c>
      <c r="H49" s="69">
        <f>C11</f>
        <v>0.252</v>
      </c>
      <c r="I49" s="67">
        <f>E49*H49</f>
        <v>0</v>
      </c>
    </row>
    <row r="50" spans="1:9" ht="15" customHeight="1" x14ac:dyDescent="0.2">
      <c r="A50" s="91" t="s">
        <v>326</v>
      </c>
      <c r="B50" s="66"/>
      <c r="C50" s="66"/>
      <c r="D50" s="66"/>
      <c r="E50" s="68"/>
      <c r="F50" s="68"/>
      <c r="G50" s="67">
        <f>SUM(G48:G49)</f>
        <v>20662.959786378382</v>
      </c>
      <c r="H50" s="68"/>
      <c r="I50" s="67">
        <f>SUM(I48:I49)</f>
        <v>3500.2250201081088</v>
      </c>
    </row>
    <row r="51" spans="1:9" ht="15" customHeight="1" x14ac:dyDescent="0.2"/>
    <row r="52" spans="1:9" ht="15" customHeight="1" x14ac:dyDescent="0.2">
      <c r="A52" s="107" t="s">
        <v>341</v>
      </c>
      <c r="B52" s="94" t="s">
        <v>342</v>
      </c>
      <c r="C52" s="94"/>
      <c r="D52" s="94" t="s">
        <v>343</v>
      </c>
      <c r="E52" s="94" t="s">
        <v>344</v>
      </c>
    </row>
    <row r="53" spans="1:9" ht="15" customHeight="1" x14ac:dyDescent="0.2">
      <c r="A53" s="91" t="s">
        <v>345</v>
      </c>
      <c r="B53" s="70">
        <v>2.5</v>
      </c>
      <c r="C53" s="71" t="s">
        <v>346</v>
      </c>
      <c r="D53" s="68">
        <f>D48</f>
        <v>3.33</v>
      </c>
      <c r="E53" s="72" t="str">
        <f>IF(D53&gt;B53,"SI","NO")</f>
        <v>SI</v>
      </c>
    </row>
    <row r="54" spans="1:9" ht="15" customHeight="1" x14ac:dyDescent="0.2">
      <c r="A54" s="91" t="s">
        <v>347</v>
      </c>
      <c r="B54" s="71" t="s">
        <v>348</v>
      </c>
      <c r="C54" s="71" t="s">
        <v>348</v>
      </c>
      <c r="D54" s="67">
        <f>C48*(1-1/D53)</f>
        <v>24639.046214054055</v>
      </c>
      <c r="E54" s="72"/>
    </row>
    <row r="55" spans="1:9" ht="15" customHeight="1" x14ac:dyDescent="0.2">
      <c r="A55" s="91" t="s">
        <v>349</v>
      </c>
      <c r="B55" s="68">
        <f>Demanda!D21</f>
        <v>0.6</v>
      </c>
      <c r="C55" s="71" t="s">
        <v>346</v>
      </c>
      <c r="D55" s="68">
        <f>D54/(G28+G44)</f>
        <v>0.6996996996996997</v>
      </c>
      <c r="E55" s="72" t="str">
        <f>IF(D55&gt;B55,"SI","NO")</f>
        <v>SI</v>
      </c>
    </row>
    <row r="56" spans="1:9" x14ac:dyDescent="0.2">
      <c r="E56" s="54"/>
    </row>
    <row r="58" spans="1:9" x14ac:dyDescent="0.2">
      <c r="D58" s="59"/>
    </row>
  </sheetData>
  <sheetProtection sheet="1" objects="1" scenarios="1" insertColumns="0" insertRows="0" deleteColumns="0" deleteRows="0"/>
  <mergeCells count="2">
    <mergeCell ref="A28:F28"/>
    <mergeCell ref="A44:F44"/>
  </mergeCells>
  <dataValidations disablePrompts="1" count="1">
    <dataValidation type="list" allowBlank="1" showInputMessage="1" showErrorMessage="1" sqref="A11" xr:uid="{CD5F6EF6-E4ED-4D58-B009-74932640CBE2}">
      <formula1>XER10:XER14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348A-5969-4E1C-AD1E-16ECC9C6A63F}">
  <sheetPr>
    <tabColor rgb="FF92D050"/>
  </sheetPr>
  <dimension ref="A1:XFC77"/>
  <sheetViews>
    <sheetView zoomScaleNormal="100" workbookViewId="0"/>
  </sheetViews>
  <sheetFormatPr baseColWidth="10" defaultColWidth="11.5703125" defaultRowHeight="15" x14ac:dyDescent="0.25"/>
  <cols>
    <col min="1" max="1" width="62.140625" style="38" bestFit="1" customWidth="1"/>
    <col min="2" max="2" width="22.140625" style="38" customWidth="1"/>
    <col min="3" max="3" width="27.5703125" style="38" customWidth="1"/>
    <col min="4" max="11" width="11.5703125" style="38"/>
    <col min="12" max="12" width="12.5703125" style="38" bestFit="1" customWidth="1"/>
    <col min="13" max="16384" width="11.5703125" style="38"/>
  </cols>
  <sheetData>
    <row r="1" spans="1:10" ht="15.75" x14ac:dyDescent="0.25">
      <c r="A1" s="92" t="s">
        <v>450</v>
      </c>
      <c r="B1" s="60"/>
      <c r="C1" s="52"/>
      <c r="D1" s="43"/>
      <c r="E1" s="43"/>
      <c r="F1" s="43"/>
      <c r="G1" s="43"/>
      <c r="H1" s="43"/>
      <c r="I1" s="43"/>
      <c r="J1" s="43"/>
    </row>
    <row r="2" spans="1:10" ht="15.75" x14ac:dyDescent="0.25">
      <c r="A2" s="93" t="s">
        <v>358</v>
      </c>
      <c r="B2" s="94" t="s">
        <v>95</v>
      </c>
      <c r="C2" s="94" t="s">
        <v>97</v>
      </c>
      <c r="D2" s="43"/>
      <c r="E2" s="143" t="s">
        <v>440</v>
      </c>
      <c r="F2" s="43"/>
      <c r="G2" s="43"/>
      <c r="H2" s="43"/>
      <c r="I2" s="43"/>
      <c r="J2" s="43"/>
    </row>
    <row r="3" spans="1:10" x14ac:dyDescent="0.25">
      <c r="A3" s="108" t="s">
        <v>102</v>
      </c>
      <c r="B3" s="61" t="s">
        <v>348</v>
      </c>
      <c r="C3" s="64" t="str">
        <f>Demanda!XFB13</f>
        <v>Residencial privado</v>
      </c>
      <c r="D3" s="43"/>
      <c r="E3" s="43"/>
      <c r="F3" s="43"/>
      <c r="G3" s="43"/>
      <c r="H3" s="43"/>
      <c r="I3" s="43"/>
      <c r="J3" s="43"/>
    </row>
    <row r="4" spans="1:10" ht="15.75" x14ac:dyDescent="0.25">
      <c r="A4" s="108" t="s">
        <v>375</v>
      </c>
      <c r="B4" s="61" t="s">
        <v>376</v>
      </c>
      <c r="C4" s="64">
        <f>IF(C3="Residencial privado",0.005,0.01)</f>
        <v>5.0000000000000001E-3</v>
      </c>
      <c r="D4" s="43" t="s">
        <v>442</v>
      </c>
      <c r="E4" s="144" t="s">
        <v>441</v>
      </c>
      <c r="F4" s="43"/>
      <c r="G4" s="43"/>
      <c r="H4" s="43"/>
      <c r="I4" s="43"/>
      <c r="J4" s="43"/>
    </row>
    <row r="5" spans="1:10" ht="14.45" customHeight="1" x14ac:dyDescent="0.25">
      <c r="A5" s="108" t="s">
        <v>368</v>
      </c>
      <c r="B5" s="61" t="s">
        <v>367</v>
      </c>
      <c r="C5" s="76">
        <v>4240</v>
      </c>
      <c r="D5" s="43"/>
      <c r="E5" s="43"/>
      <c r="F5" s="43"/>
      <c r="G5" s="43"/>
      <c r="H5" s="43"/>
      <c r="I5" s="43"/>
      <c r="J5" s="43"/>
    </row>
    <row r="6" spans="1:10" ht="25.5" x14ac:dyDescent="0.25">
      <c r="A6" s="108" t="s">
        <v>369</v>
      </c>
      <c r="B6" s="61" t="s">
        <v>367</v>
      </c>
      <c r="C6" s="76">
        <v>1984</v>
      </c>
      <c r="D6" s="43"/>
      <c r="E6" s="43"/>
      <c r="F6" s="43"/>
      <c r="G6" s="43"/>
      <c r="H6" s="43"/>
      <c r="I6" s="43"/>
      <c r="J6" s="43"/>
    </row>
    <row r="7" spans="1:10" ht="38.25" x14ac:dyDescent="0.25">
      <c r="A7" s="108" t="s">
        <v>370</v>
      </c>
      <c r="B7" s="61" t="s">
        <v>367</v>
      </c>
      <c r="C7" s="53">
        <v>0</v>
      </c>
      <c r="D7" s="43"/>
      <c r="E7" s="43"/>
      <c r="F7" s="43"/>
      <c r="G7" s="43"/>
      <c r="H7" s="43"/>
      <c r="I7" s="43"/>
      <c r="J7" s="43"/>
    </row>
    <row r="8" spans="1:10" x14ac:dyDescent="0.25">
      <c r="A8" s="108" t="s">
        <v>371</v>
      </c>
      <c r="B8" s="61" t="s">
        <v>372</v>
      </c>
      <c r="C8" s="74">
        <f>C4*C5</f>
        <v>21.2</v>
      </c>
      <c r="D8" s="43" t="s">
        <v>442</v>
      </c>
      <c r="E8" s="43"/>
      <c r="F8" s="43"/>
      <c r="G8" s="43"/>
      <c r="H8" s="43"/>
      <c r="I8" s="43"/>
      <c r="J8" s="43"/>
    </row>
    <row r="9" spans="1:10" x14ac:dyDescent="0.25">
      <c r="A9" s="108" t="s">
        <v>373</v>
      </c>
      <c r="B9" s="61" t="s">
        <v>372</v>
      </c>
      <c r="C9" s="74">
        <f>0.1*(0.5*C6-C7)</f>
        <v>99.2</v>
      </c>
      <c r="D9" s="43" t="s">
        <v>442</v>
      </c>
      <c r="E9" s="43"/>
      <c r="F9" s="43"/>
      <c r="G9" s="43"/>
      <c r="H9" s="43"/>
      <c r="I9" s="43"/>
      <c r="J9" s="43"/>
    </row>
    <row r="10" spans="1:10" x14ac:dyDescent="0.25">
      <c r="A10" s="108" t="s">
        <v>374</v>
      </c>
      <c r="B10" s="61" t="s">
        <v>372</v>
      </c>
      <c r="C10" s="74">
        <f>MIN(C8:C9)</f>
        <v>21.2</v>
      </c>
      <c r="D10" s="43"/>
      <c r="E10" s="43"/>
      <c r="F10" s="43"/>
      <c r="G10" s="43"/>
      <c r="H10" s="43"/>
      <c r="I10" s="43"/>
      <c r="J10" s="43"/>
    </row>
    <row r="11" spans="1:10" ht="15.75" x14ac:dyDescent="0.25">
      <c r="A11" s="108" t="s">
        <v>377</v>
      </c>
      <c r="B11" s="61" t="s">
        <v>372</v>
      </c>
      <c r="C11" s="75">
        <v>100</v>
      </c>
      <c r="D11" s="43"/>
      <c r="E11" s="144" t="s">
        <v>378</v>
      </c>
      <c r="F11" s="43"/>
      <c r="G11" s="43"/>
      <c r="H11" s="43"/>
      <c r="I11" s="43"/>
      <c r="J11" s="43"/>
    </row>
    <row r="12" spans="1:10" ht="15.75" x14ac:dyDescent="0.25">
      <c r="A12" s="85"/>
      <c r="B12" s="85"/>
      <c r="C12" s="84"/>
      <c r="D12" s="43"/>
      <c r="E12" s="144"/>
      <c r="F12" s="43"/>
      <c r="G12" s="43"/>
      <c r="H12" s="43"/>
      <c r="I12" s="43"/>
      <c r="J12" s="43"/>
    </row>
    <row r="13" spans="1:10" x14ac:dyDescent="0.25">
      <c r="A13" s="52"/>
      <c r="B13" s="52"/>
      <c r="C13" s="52"/>
      <c r="D13" s="43"/>
      <c r="E13" s="43"/>
      <c r="F13" s="43"/>
      <c r="G13" s="43"/>
      <c r="H13" s="43"/>
      <c r="I13" s="43"/>
      <c r="J13" s="43"/>
    </row>
    <row r="14" spans="1:10" ht="14.45" customHeight="1" x14ac:dyDescent="0.25">
      <c r="A14" s="102" t="s">
        <v>379</v>
      </c>
      <c r="D14" s="43"/>
      <c r="E14" s="43"/>
      <c r="F14" s="43"/>
      <c r="G14" s="43"/>
      <c r="H14" s="43"/>
      <c r="I14" s="43"/>
      <c r="J14" s="43"/>
    </row>
    <row r="15" spans="1:10" x14ac:dyDescent="0.25">
      <c r="A15" s="93" t="s">
        <v>380</v>
      </c>
      <c r="B15" s="247" t="s">
        <v>394</v>
      </c>
      <c r="C15" s="248"/>
      <c r="D15" s="43"/>
      <c r="E15" s="43"/>
      <c r="F15" s="43"/>
      <c r="G15" s="43"/>
      <c r="H15" s="43"/>
      <c r="I15" s="43"/>
      <c r="J15" s="43"/>
    </row>
    <row r="16" spans="1:10" x14ac:dyDescent="0.25">
      <c r="A16" s="93" t="s">
        <v>283</v>
      </c>
      <c r="B16" s="249" t="str">
        <f>INDEX('Modelos de modulos FV'!A3:A20,MATCH(B15,'Modelos de modulos FV'!B3:B20,0),1)</f>
        <v>YINGLI SOLAR</v>
      </c>
      <c r="C16" s="249"/>
      <c r="D16" s="43"/>
      <c r="E16" s="43"/>
      <c r="F16" s="43"/>
      <c r="G16" s="43"/>
      <c r="H16" s="43"/>
      <c r="I16" s="43"/>
      <c r="J16" s="43"/>
    </row>
    <row r="17" spans="1:10" x14ac:dyDescent="0.25">
      <c r="A17" s="78" t="s">
        <v>381</v>
      </c>
      <c r="B17" s="80" t="s">
        <v>44</v>
      </c>
      <c r="C17" s="74" t="str">
        <f>INDEX('Modelos de modulos FV'!C3:C20,MATCH(B15,'Modelos de modulos FV'!B3:B20,0),1)</f>
        <v>2,000 x 0,992 x 0,040 m</v>
      </c>
      <c r="D17" s="43"/>
      <c r="E17" s="43"/>
      <c r="F17" s="43"/>
      <c r="G17" s="43"/>
      <c r="H17" s="43"/>
      <c r="I17" s="43"/>
      <c r="J17" s="43"/>
    </row>
    <row r="18" spans="1:10" x14ac:dyDescent="0.25">
      <c r="A18" s="78" t="s">
        <v>382</v>
      </c>
      <c r="B18" s="80" t="s">
        <v>392</v>
      </c>
      <c r="C18" s="148">
        <f>INDEX('Modelos de modulos FV'!D3:D20,MATCH(B15,'Modelos de modulos FV'!B3:B20,0),1)</f>
        <v>26</v>
      </c>
      <c r="D18" s="43"/>
      <c r="E18" s="43"/>
      <c r="F18" s="43"/>
      <c r="G18" s="43"/>
      <c r="H18" s="43"/>
      <c r="I18" s="43"/>
      <c r="J18" s="43"/>
    </row>
    <row r="19" spans="1:10" x14ac:dyDescent="0.25">
      <c r="A19" s="78" t="s">
        <v>383</v>
      </c>
      <c r="B19" s="80" t="s">
        <v>391</v>
      </c>
      <c r="C19" s="148">
        <f>INDEX('Modelos de modulos FV'!E3:E20,MATCH(B15,'Modelos de modulos FV'!B3:B20,0),1)</f>
        <v>310</v>
      </c>
      <c r="D19" s="43"/>
      <c r="E19" s="43"/>
      <c r="F19" s="43"/>
      <c r="G19" s="43"/>
      <c r="H19" s="43"/>
      <c r="I19" s="43"/>
      <c r="J19" s="43"/>
    </row>
    <row r="20" spans="1:10" x14ac:dyDescent="0.25">
      <c r="A20" s="78" t="s">
        <v>384</v>
      </c>
      <c r="B20" s="80" t="s">
        <v>62</v>
      </c>
      <c r="C20" s="81">
        <f>INDEX('Modelos de modulos FV'!F3:F20,MATCH(B15,'Modelos de modulos FV'!B3:B20,0),1)</f>
        <v>45.6</v>
      </c>
      <c r="D20" s="43"/>
      <c r="E20" s="43"/>
      <c r="F20" s="43"/>
      <c r="G20" s="43"/>
      <c r="H20" s="43"/>
      <c r="I20" s="43"/>
      <c r="J20" s="43"/>
    </row>
    <row r="21" spans="1:10" x14ac:dyDescent="0.25">
      <c r="A21" s="78" t="s">
        <v>385</v>
      </c>
      <c r="B21" s="80" t="s">
        <v>390</v>
      </c>
      <c r="C21" s="81">
        <f>INDEX('Modelos de modulos FV'!G3:G20,MATCH(B15,'Modelos de modulos FV'!B3:B20,0),1)</f>
        <v>8.99</v>
      </c>
      <c r="D21" s="43"/>
      <c r="E21" s="43"/>
      <c r="F21" s="43"/>
      <c r="G21" s="43"/>
      <c r="H21" s="43"/>
      <c r="I21" s="43"/>
      <c r="J21" s="43"/>
    </row>
    <row r="22" spans="1:10" x14ac:dyDescent="0.25">
      <c r="A22" s="79" t="s">
        <v>386</v>
      </c>
      <c r="B22" s="80" t="s">
        <v>62</v>
      </c>
      <c r="C22" s="81">
        <f>INDEX('Modelos de modulos FV'!H3:H20,MATCH(B15,'Modelos de modulos FV'!B3:B20,0),1)</f>
        <v>36.299999999999997</v>
      </c>
      <c r="D22" s="43"/>
      <c r="E22" s="43"/>
      <c r="F22" s="43"/>
      <c r="G22" s="43"/>
      <c r="H22" s="43"/>
      <c r="I22" s="43"/>
      <c r="J22" s="43"/>
    </row>
    <row r="23" spans="1:10" x14ac:dyDescent="0.25">
      <c r="A23" s="79" t="s">
        <v>387</v>
      </c>
      <c r="B23" s="80" t="s">
        <v>3</v>
      </c>
      <c r="C23" s="81">
        <f>INDEX('Modelos de modulos FV'!I3:I20,MATCH(B15,'Modelos de modulos FV'!B3:B20,0),1)</f>
        <v>46</v>
      </c>
      <c r="D23" s="43"/>
      <c r="E23" s="43"/>
      <c r="F23" s="43"/>
      <c r="G23" s="43"/>
      <c r="H23" s="43"/>
      <c r="I23" s="43"/>
      <c r="J23" s="43"/>
    </row>
    <row r="24" spans="1:10" x14ac:dyDescent="0.25">
      <c r="A24" s="79" t="s">
        <v>388</v>
      </c>
      <c r="B24" s="80" t="s">
        <v>390</v>
      </c>
      <c r="C24" s="81">
        <f>INDEX('Modelos de modulos FV'!J3:J20,MATCH(B15,'Modelos de modulos FV'!B3:B20,0),1)</f>
        <v>8.5299999999999994</v>
      </c>
      <c r="D24" s="43"/>
      <c r="E24" s="43"/>
      <c r="F24" s="43"/>
      <c r="G24" s="43"/>
      <c r="H24" s="43"/>
      <c r="I24" s="43"/>
      <c r="J24" s="43"/>
    </row>
    <row r="25" spans="1:10" x14ac:dyDescent="0.25">
      <c r="A25" s="79" t="s">
        <v>443</v>
      </c>
      <c r="B25" s="80" t="s">
        <v>389</v>
      </c>
      <c r="C25" s="81">
        <f>INDEX('Modelos de modulos FV'!K3:K20,MATCH(B15,'Modelos de modulos FV'!B3:B20,0),1)</f>
        <v>-0.32</v>
      </c>
      <c r="D25" s="43"/>
      <c r="E25" s="43"/>
      <c r="F25" s="43"/>
      <c r="G25" s="43"/>
      <c r="H25" s="43"/>
      <c r="I25" s="43"/>
      <c r="J25" s="43"/>
    </row>
    <row r="26" spans="1:10" x14ac:dyDescent="0.25">
      <c r="A26" s="79" t="s">
        <v>444</v>
      </c>
      <c r="B26" s="80" t="s">
        <v>389</v>
      </c>
      <c r="C26" s="81">
        <f>INDEX('Modelos de modulos FV'!L3:L20,MATCH(B15,'Modelos de modulos FV'!B3:B20,0),1)</f>
        <v>0.05</v>
      </c>
      <c r="D26" s="43"/>
      <c r="E26" s="145"/>
      <c r="F26" s="43"/>
      <c r="G26" s="43"/>
      <c r="H26" s="43"/>
      <c r="I26" s="43"/>
      <c r="J26" s="43"/>
    </row>
    <row r="27" spans="1:10" x14ac:dyDescent="0.25">
      <c r="A27" s="86"/>
      <c r="B27" s="87"/>
      <c r="C27" s="88"/>
      <c r="D27" s="43"/>
      <c r="E27" s="145"/>
      <c r="F27" s="43"/>
      <c r="G27" s="43"/>
      <c r="H27" s="43"/>
      <c r="I27" s="43"/>
      <c r="J27" s="43"/>
    </row>
    <row r="28" spans="1:10" x14ac:dyDescent="0.25">
      <c r="D28" s="43"/>
      <c r="E28" s="145"/>
      <c r="F28" s="43"/>
      <c r="G28" s="43"/>
      <c r="H28" s="43"/>
      <c r="I28" s="43"/>
      <c r="J28" s="43"/>
    </row>
    <row r="29" spans="1:10" ht="15.75" x14ac:dyDescent="0.25">
      <c r="A29" s="102" t="s">
        <v>398</v>
      </c>
      <c r="B29" s="82"/>
      <c r="C29" s="82"/>
      <c r="D29" s="43"/>
      <c r="E29" s="145"/>
      <c r="F29" s="43"/>
      <c r="G29" s="43"/>
      <c r="H29" s="43"/>
      <c r="I29" s="43"/>
      <c r="J29" s="43"/>
    </row>
    <row r="30" spans="1:10" x14ac:dyDescent="0.25">
      <c r="A30" s="79" t="s">
        <v>398</v>
      </c>
      <c r="B30" s="80" t="s">
        <v>348</v>
      </c>
      <c r="C30" s="81">
        <f>ROUNDUP(C11/(C19/1000),0)</f>
        <v>323</v>
      </c>
      <c r="D30" s="43" t="s">
        <v>442</v>
      </c>
      <c r="E30" s="145"/>
      <c r="F30" s="43"/>
      <c r="G30" s="43"/>
      <c r="H30" s="43"/>
      <c r="I30" s="43"/>
      <c r="J30" s="43"/>
    </row>
    <row r="31" spans="1:10" x14ac:dyDescent="0.25">
      <c r="A31" s="79" t="s">
        <v>1</v>
      </c>
      <c r="B31" s="80" t="s">
        <v>348</v>
      </c>
      <c r="C31" s="81">
        <f>Demanda!E6</f>
        <v>43.4</v>
      </c>
      <c r="D31" s="43"/>
      <c r="E31" s="145"/>
      <c r="F31" s="43"/>
      <c r="G31" s="43"/>
      <c r="H31" s="43"/>
      <c r="I31" s="43"/>
      <c r="J31" s="43"/>
    </row>
    <row r="32" spans="1:10" x14ac:dyDescent="0.25">
      <c r="A32" s="79" t="s">
        <v>399</v>
      </c>
      <c r="B32" s="80" t="s">
        <v>37</v>
      </c>
      <c r="C32" s="81">
        <f>ROUND(IF(C31&lt;25,0.87*C31,IF(C31&gt;50,0.822*C31,0.76*C31+3.1)),0)</f>
        <v>36</v>
      </c>
      <c r="D32" s="43"/>
      <c r="E32" s="145"/>
      <c r="F32" s="43"/>
      <c r="G32" s="43"/>
      <c r="H32" s="43"/>
      <c r="I32" s="43"/>
      <c r="J32" s="43"/>
    </row>
    <row r="33" spans="1:17" x14ac:dyDescent="0.25">
      <c r="A33" s="79" t="s">
        <v>405</v>
      </c>
      <c r="B33" s="61" t="s">
        <v>37</v>
      </c>
      <c r="C33" s="73">
        <v>36</v>
      </c>
      <c r="D33" s="43"/>
      <c r="E33" s="145"/>
      <c r="F33" s="43"/>
      <c r="G33" s="43"/>
      <c r="H33" s="43"/>
      <c r="I33" s="43"/>
      <c r="J33" s="43"/>
    </row>
    <row r="34" spans="1:17" x14ac:dyDescent="0.25">
      <c r="A34" s="86"/>
      <c r="B34" s="85"/>
      <c r="C34" s="89"/>
    </row>
    <row r="36" spans="1:17" ht="15.75" x14ac:dyDescent="0.25">
      <c r="A36" s="102" t="s">
        <v>400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ht="15" customHeight="1" x14ac:dyDescent="0.25">
      <c r="A37" s="103" t="s">
        <v>96</v>
      </c>
      <c r="B37" s="100" t="s">
        <v>269</v>
      </c>
      <c r="C37" s="98" t="s">
        <v>95</v>
      </c>
      <c r="D37" s="99" t="s">
        <v>5</v>
      </c>
      <c r="E37" s="99" t="s">
        <v>6</v>
      </c>
      <c r="F37" s="99" t="s">
        <v>7</v>
      </c>
      <c r="G37" s="99" t="s">
        <v>8</v>
      </c>
      <c r="H37" s="99" t="s">
        <v>9</v>
      </c>
      <c r="I37" s="99" t="s">
        <v>10</v>
      </c>
      <c r="J37" s="99" t="s">
        <v>11</v>
      </c>
      <c r="K37" s="99" t="s">
        <v>12</v>
      </c>
      <c r="L37" s="99" t="s">
        <v>13</v>
      </c>
      <c r="M37" s="99" t="s">
        <v>14</v>
      </c>
      <c r="N37" s="99" t="s">
        <v>15</v>
      </c>
      <c r="O37" s="99" t="s">
        <v>16</v>
      </c>
    </row>
    <row r="38" spans="1:17" x14ac:dyDescent="0.25">
      <c r="A38" s="78" t="s">
        <v>19</v>
      </c>
      <c r="B38" s="80" t="s">
        <v>21</v>
      </c>
      <c r="C38" s="83" t="s">
        <v>49</v>
      </c>
      <c r="D38" s="81">
        <f>EST!G22</f>
        <v>2.193548387096774</v>
      </c>
      <c r="E38" s="81">
        <f>EST!H22</f>
        <v>2.7142857142857144</v>
      </c>
      <c r="F38" s="81">
        <f>EST!I22</f>
        <v>5.32258064516129</v>
      </c>
      <c r="G38" s="81">
        <f>EST!J22</f>
        <v>6.166666666666667</v>
      </c>
      <c r="H38" s="81">
        <f>EST!K22</f>
        <v>6.354838709677419</v>
      </c>
      <c r="I38" s="81">
        <f>EST!L22</f>
        <v>8</v>
      </c>
      <c r="J38" s="81">
        <f>EST!M22</f>
        <v>10.741935483870968</v>
      </c>
      <c r="K38" s="81">
        <f>EST!N22</f>
        <v>10.064516129032258</v>
      </c>
      <c r="L38" s="81">
        <f>EST!O22</f>
        <v>7.1333333333333337</v>
      </c>
      <c r="M38" s="81">
        <f>EST!P22</f>
        <v>6.806451612903226</v>
      </c>
      <c r="N38" s="81">
        <f>EST!Q22</f>
        <v>4.3</v>
      </c>
      <c r="O38" s="81">
        <f>EST!R22</f>
        <v>5.225806451612903</v>
      </c>
    </row>
    <row r="39" spans="1:17" x14ac:dyDescent="0.25">
      <c r="A39" s="78" t="s">
        <v>403</v>
      </c>
      <c r="B39" s="80" t="s">
        <v>401</v>
      </c>
      <c r="C39" s="83" t="s">
        <v>402</v>
      </c>
      <c r="D39" s="73">
        <v>88.76</v>
      </c>
      <c r="E39" s="73">
        <v>103.94</v>
      </c>
      <c r="F39" s="73">
        <v>141.08000000000001</v>
      </c>
      <c r="G39" s="73">
        <v>117.24</v>
      </c>
      <c r="H39" s="73">
        <v>189.77</v>
      </c>
      <c r="I39" s="73">
        <v>147.80000000000001</v>
      </c>
      <c r="J39" s="73">
        <v>216.56</v>
      </c>
      <c r="K39" s="73">
        <v>156.15</v>
      </c>
      <c r="L39" s="73">
        <v>168.68</v>
      </c>
      <c r="M39" s="73">
        <v>100.9</v>
      </c>
      <c r="N39" s="73">
        <v>92.84</v>
      </c>
      <c r="O39" s="73">
        <v>59.13</v>
      </c>
      <c r="P39" s="38" t="s">
        <v>433</v>
      </c>
      <c r="Q39" s="38" t="s">
        <v>404</v>
      </c>
    </row>
    <row r="40" spans="1:17" x14ac:dyDescent="0.25">
      <c r="A40" s="79" t="s">
        <v>406</v>
      </c>
      <c r="B40" s="80" t="s">
        <v>401</v>
      </c>
      <c r="C40" s="83" t="s">
        <v>402</v>
      </c>
      <c r="D40" s="81">
        <f>D39/31</f>
        <v>2.863225806451613</v>
      </c>
      <c r="E40" s="81">
        <f>E39/28</f>
        <v>3.7121428571428572</v>
      </c>
      <c r="F40" s="81">
        <f>F39/31</f>
        <v>4.5509677419354846</v>
      </c>
      <c r="G40" s="81">
        <f>G39/30</f>
        <v>3.9079999999999999</v>
      </c>
      <c r="H40" s="81">
        <f>H39/31</f>
        <v>6.1216129032258069</v>
      </c>
      <c r="I40" s="81">
        <f>I39/30</f>
        <v>4.9266666666666667</v>
      </c>
      <c r="J40" s="81">
        <f>J39/31</f>
        <v>6.9858064516129037</v>
      </c>
      <c r="K40" s="81">
        <f>K39/31</f>
        <v>5.0370967741935484</v>
      </c>
      <c r="L40" s="81">
        <f>L39/30</f>
        <v>5.6226666666666665</v>
      </c>
      <c r="M40" s="81">
        <f>M39/31</f>
        <v>3.2548387096774194</v>
      </c>
      <c r="N40" s="81">
        <f>N39/30</f>
        <v>3.0946666666666669</v>
      </c>
      <c r="O40" s="81">
        <f>O39/31</f>
        <v>1.9074193548387097</v>
      </c>
    </row>
    <row r="41" spans="1:17" x14ac:dyDescent="0.25">
      <c r="A41" s="86"/>
      <c r="B41" s="87"/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3" spans="1:17" ht="15.75" x14ac:dyDescent="0.25">
      <c r="A43" s="102" t="s">
        <v>407</v>
      </c>
    </row>
    <row r="44" spans="1:17" x14ac:dyDescent="0.25">
      <c r="A44" s="79" t="s">
        <v>410</v>
      </c>
      <c r="B44" s="80" t="s">
        <v>3</v>
      </c>
      <c r="C44" s="73">
        <v>39.6</v>
      </c>
      <c r="D44" s="43" t="s">
        <v>442</v>
      </c>
      <c r="E44" s="145"/>
      <c r="F44" s="43"/>
      <c r="G44" s="43"/>
    </row>
    <row r="45" spans="1:17" x14ac:dyDescent="0.25">
      <c r="A45" s="79" t="s">
        <v>411</v>
      </c>
      <c r="B45" s="80" t="s">
        <v>3</v>
      </c>
      <c r="C45" s="73">
        <v>-3</v>
      </c>
      <c r="D45" s="43"/>
      <c r="E45" s="145"/>
      <c r="F45" s="43"/>
      <c r="G45" s="43"/>
    </row>
    <row r="46" spans="1:17" x14ac:dyDescent="0.25">
      <c r="A46" s="79" t="s">
        <v>408</v>
      </c>
      <c r="B46" s="80" t="s">
        <v>3</v>
      </c>
      <c r="C46" s="81">
        <f>C44+1000*(C23-20)/800</f>
        <v>72.099999999999994</v>
      </c>
      <c r="D46" s="43"/>
      <c r="E46" s="145" t="s">
        <v>446</v>
      </c>
      <c r="F46" s="43"/>
      <c r="G46" s="43"/>
    </row>
    <row r="47" spans="1:17" x14ac:dyDescent="0.25">
      <c r="A47" s="79" t="s">
        <v>409</v>
      </c>
      <c r="B47" s="80" t="s">
        <v>3</v>
      </c>
      <c r="C47" s="81">
        <f>C45+100*(C23-20)/800</f>
        <v>0.25</v>
      </c>
      <c r="D47" s="43"/>
      <c r="E47" s="145" t="s">
        <v>447</v>
      </c>
      <c r="F47" s="43"/>
      <c r="G47" s="43"/>
    </row>
    <row r="48" spans="1:17" x14ac:dyDescent="0.25">
      <c r="A48" s="86"/>
      <c r="B48" s="87"/>
      <c r="C48" s="88"/>
      <c r="D48" s="43"/>
      <c r="E48" s="43"/>
      <c r="F48" s="43"/>
      <c r="G48" s="43"/>
    </row>
    <row r="49" spans="1:9" x14ac:dyDescent="0.25">
      <c r="D49" s="43"/>
      <c r="E49" s="43"/>
      <c r="F49" s="43"/>
      <c r="G49" s="43"/>
    </row>
    <row r="50" spans="1:9" ht="15.75" x14ac:dyDescent="0.25">
      <c r="A50" s="102" t="s">
        <v>412</v>
      </c>
      <c r="B50" s="82"/>
      <c r="C50" s="82"/>
      <c r="D50" s="43"/>
      <c r="E50" s="43"/>
      <c r="F50" s="43"/>
      <c r="G50" s="43"/>
    </row>
    <row r="51" spans="1:9" x14ac:dyDescent="0.25">
      <c r="A51" s="79" t="s">
        <v>415</v>
      </c>
      <c r="B51" s="80" t="s">
        <v>389</v>
      </c>
      <c r="C51" s="81">
        <f>C25*(C45-25)</f>
        <v>8.9600000000000009</v>
      </c>
      <c r="D51" s="43" t="s">
        <v>442</v>
      </c>
      <c r="E51" s="145"/>
      <c r="F51" s="43"/>
      <c r="G51" s="43"/>
      <c r="I51" s="38" t="s">
        <v>413</v>
      </c>
    </row>
    <row r="52" spans="1:9" x14ac:dyDescent="0.25">
      <c r="A52" s="79" t="s">
        <v>414</v>
      </c>
      <c r="B52" s="80" t="s">
        <v>62</v>
      </c>
      <c r="C52" s="81">
        <f>C22*(1+C51/100)</f>
        <v>39.552479999999996</v>
      </c>
      <c r="D52" s="43" t="s">
        <v>442</v>
      </c>
      <c r="E52" s="145"/>
      <c r="F52" s="43"/>
      <c r="G52" s="43"/>
    </row>
    <row r="53" spans="1:9" x14ac:dyDescent="0.25">
      <c r="A53" s="79" t="s">
        <v>416</v>
      </c>
      <c r="B53" s="80" t="s">
        <v>62</v>
      </c>
      <c r="C53" s="81">
        <f>C20*(1+(C25*(C45-25))/100)</f>
        <v>49.685759999999995</v>
      </c>
      <c r="D53" s="43" t="s">
        <v>442</v>
      </c>
      <c r="E53" s="145"/>
      <c r="F53" s="43"/>
      <c r="G53" s="43"/>
    </row>
    <row r="54" spans="1:9" x14ac:dyDescent="0.25">
      <c r="A54" s="86"/>
      <c r="B54" s="87"/>
      <c r="C54" s="88"/>
      <c r="D54" s="43"/>
      <c r="E54" s="145"/>
      <c r="F54" s="43"/>
      <c r="G54" s="43"/>
    </row>
    <row r="55" spans="1:9" x14ac:dyDescent="0.25">
      <c r="D55" s="43"/>
      <c r="E55" s="145"/>
      <c r="F55" s="43"/>
      <c r="G55" s="43"/>
    </row>
    <row r="56" spans="1:9" ht="15.75" x14ac:dyDescent="0.25">
      <c r="A56" s="102" t="s">
        <v>419</v>
      </c>
      <c r="B56" s="55"/>
      <c r="C56" s="55"/>
      <c r="D56" s="43"/>
      <c r="E56" s="145"/>
      <c r="F56" s="43"/>
      <c r="G56" s="43"/>
    </row>
    <row r="57" spans="1:9" x14ac:dyDescent="0.25">
      <c r="A57" s="103" t="s">
        <v>380</v>
      </c>
      <c r="B57" s="250" t="s">
        <v>420</v>
      </c>
      <c r="C57" s="251"/>
      <c r="D57" s="43"/>
      <c r="E57" s="145"/>
      <c r="F57" s="43"/>
      <c r="G57" s="43"/>
    </row>
    <row r="58" spans="1:9" x14ac:dyDescent="0.25">
      <c r="A58" s="103" t="s">
        <v>283</v>
      </c>
      <c r="B58" s="250" t="s">
        <v>426</v>
      </c>
      <c r="C58" s="251"/>
      <c r="D58" s="43"/>
      <c r="E58" s="145"/>
      <c r="F58" s="43"/>
      <c r="G58" s="43"/>
    </row>
    <row r="59" spans="1:9" x14ac:dyDescent="0.25">
      <c r="A59" s="79" t="s">
        <v>454</v>
      </c>
      <c r="B59" s="80" t="s">
        <v>62</v>
      </c>
      <c r="C59" s="147">
        <v>360</v>
      </c>
      <c r="D59" s="43"/>
      <c r="E59" s="145"/>
      <c r="F59" s="43"/>
      <c r="G59" s="43"/>
    </row>
    <row r="60" spans="1:9" x14ac:dyDescent="0.25">
      <c r="A60" s="79" t="s">
        <v>421</v>
      </c>
      <c r="B60" s="80" t="s">
        <v>62</v>
      </c>
      <c r="C60" s="147">
        <v>1050</v>
      </c>
      <c r="D60" s="43"/>
      <c r="E60" s="43"/>
      <c r="F60" s="43"/>
      <c r="G60" s="43"/>
    </row>
    <row r="61" spans="1:9" x14ac:dyDescent="0.25">
      <c r="A61" s="79" t="s">
        <v>422</v>
      </c>
      <c r="B61" s="80" t="s">
        <v>390</v>
      </c>
      <c r="C61" s="147">
        <v>2000</v>
      </c>
      <c r="D61" s="43"/>
      <c r="E61" s="43"/>
      <c r="F61" s="43"/>
      <c r="G61" s="43"/>
    </row>
    <row r="62" spans="1:9" x14ac:dyDescent="0.25">
      <c r="A62" s="79" t="s">
        <v>423</v>
      </c>
      <c r="B62" s="80" t="s">
        <v>62</v>
      </c>
      <c r="C62" s="147">
        <v>820</v>
      </c>
      <c r="D62" s="43"/>
      <c r="E62" s="43"/>
      <c r="F62" s="43"/>
      <c r="G62" s="43"/>
      <c r="H62" s="41"/>
    </row>
    <row r="63" spans="1:9" x14ac:dyDescent="0.25">
      <c r="A63" s="79" t="s">
        <v>417</v>
      </c>
      <c r="B63" s="80" t="s">
        <v>348</v>
      </c>
      <c r="C63" s="146">
        <f>C62/C52</f>
        <v>20.73194904592582</v>
      </c>
      <c r="D63" s="245" t="s">
        <v>448</v>
      </c>
      <c r="E63" s="246"/>
      <c r="F63" s="246"/>
      <c r="G63" s="246"/>
      <c r="H63" s="41"/>
    </row>
    <row r="64" spans="1:9" x14ac:dyDescent="0.25">
      <c r="A64" s="79" t="s">
        <v>418</v>
      </c>
      <c r="B64" s="80" t="s">
        <v>348</v>
      </c>
      <c r="C64" s="146">
        <f>C60/C53</f>
        <v>21.132815518973647</v>
      </c>
      <c r="D64" s="43"/>
      <c r="E64" s="43"/>
      <c r="F64" s="43"/>
      <c r="G64" s="43"/>
      <c r="H64" s="41"/>
    </row>
    <row r="65" spans="1:8 16382:16383" x14ac:dyDescent="0.25">
      <c r="A65" s="79" t="s">
        <v>449</v>
      </c>
      <c r="B65" s="80" t="s">
        <v>348</v>
      </c>
      <c r="C65" s="146">
        <f>ROUNDDOWN(MIN(C63:C64),0)</f>
        <v>20</v>
      </c>
      <c r="D65" s="43" t="s">
        <v>442</v>
      </c>
      <c r="E65" s="43" t="s">
        <v>424</v>
      </c>
      <c r="F65" s="43"/>
      <c r="G65" s="43"/>
      <c r="H65" s="41"/>
    </row>
    <row r="66" spans="1:8 16382:16383" x14ac:dyDescent="0.25">
      <c r="A66" s="79" t="s">
        <v>425</v>
      </c>
      <c r="B66" s="80" t="s">
        <v>348</v>
      </c>
      <c r="C66" s="146">
        <f>ROUNDUP(C30/C65,0)</f>
        <v>17</v>
      </c>
      <c r="D66" s="43"/>
      <c r="E66" s="43"/>
      <c r="F66" s="43"/>
      <c r="G66" s="43"/>
      <c r="H66" s="41"/>
    </row>
    <row r="67" spans="1:8 16382:16383" x14ac:dyDescent="0.25">
      <c r="D67" s="43"/>
      <c r="E67" s="43"/>
      <c r="F67" s="43"/>
      <c r="G67" s="43"/>
    </row>
    <row r="68" spans="1:8 16382:16383" ht="15.75" x14ac:dyDescent="0.25">
      <c r="A68" s="102" t="s">
        <v>427</v>
      </c>
      <c r="B68" s="82"/>
      <c r="C68" s="82"/>
      <c r="D68" s="43"/>
      <c r="E68" s="43"/>
      <c r="F68" s="43"/>
      <c r="G68" s="43"/>
    </row>
    <row r="69" spans="1:8 16382:16383" x14ac:dyDescent="0.25">
      <c r="A69" s="79" t="s">
        <v>445</v>
      </c>
      <c r="B69" s="80" t="s">
        <v>390</v>
      </c>
      <c r="C69" s="81">
        <f>C26*(C46-25)</f>
        <v>2.355</v>
      </c>
      <c r="D69" s="43"/>
      <c r="E69" s="43"/>
      <c r="F69" s="43"/>
      <c r="G69" s="43"/>
      <c r="H69" s="41"/>
    </row>
    <row r="70" spans="1:8 16382:16383" x14ac:dyDescent="0.25">
      <c r="A70" s="79" t="s">
        <v>428</v>
      </c>
      <c r="B70" s="80" t="s">
        <v>390</v>
      </c>
      <c r="C70" s="81">
        <f>C21*(1+C69/100)</f>
        <v>9.2017144999999996</v>
      </c>
      <c r="D70" s="245" t="s">
        <v>448</v>
      </c>
      <c r="E70" s="246"/>
      <c r="F70" s="246"/>
      <c r="G70" s="246"/>
      <c r="H70" s="41"/>
    </row>
    <row r="71" spans="1:8 16382:16383" x14ac:dyDescent="0.25">
      <c r="A71" s="79" t="s">
        <v>429</v>
      </c>
      <c r="B71" s="80" t="s">
        <v>348</v>
      </c>
      <c r="C71" s="81">
        <f>ROUNDDOWN(C61/C70,0)</f>
        <v>217</v>
      </c>
      <c r="D71" s="43" t="s">
        <v>442</v>
      </c>
      <c r="E71" s="145"/>
      <c r="F71" s="43"/>
      <c r="G71" s="43"/>
      <c r="H71" s="41"/>
    </row>
    <row r="72" spans="1:8 16382:16383" ht="15.75" thickBot="1" x14ac:dyDescent="0.3">
      <c r="E72" s="41"/>
      <c r="H72" s="41"/>
    </row>
    <row r="73" spans="1:8 16382:16383" ht="17.25" thickTop="1" thickBot="1" x14ac:dyDescent="0.3">
      <c r="A73" s="102" t="s">
        <v>432</v>
      </c>
      <c r="B73" s="82"/>
      <c r="C73" s="82"/>
      <c r="E73" s="41"/>
      <c r="XFB73" s="38">
        <v>42</v>
      </c>
      <c r="XFC73" s="46" t="s">
        <v>219</v>
      </c>
    </row>
    <row r="74" spans="1:8 16382:16383" ht="15.75" thickTop="1" x14ac:dyDescent="0.25">
      <c r="A74" s="103" t="s">
        <v>96</v>
      </c>
      <c r="B74" s="106" t="s">
        <v>95</v>
      </c>
      <c r="C74" s="104" t="s">
        <v>97</v>
      </c>
      <c r="XFB74" s="38">
        <v>43</v>
      </c>
      <c r="XFC74" s="46" t="s">
        <v>220</v>
      </c>
    </row>
    <row r="75" spans="1:8 16382:16383" x14ac:dyDescent="0.25">
      <c r="A75" s="78" t="s">
        <v>431</v>
      </c>
      <c r="B75" s="80" t="s">
        <v>47</v>
      </c>
      <c r="C75" s="68">
        <f>1/TAN(RADIANS(61)-RADIANS(Demanda!E6))</f>
        <v>3.1523994185639523</v>
      </c>
    </row>
    <row r="76" spans="1:8 16382:16383" x14ac:dyDescent="0.25">
      <c r="A76" s="78" t="s">
        <v>430</v>
      </c>
      <c r="B76" s="80" t="s">
        <v>44</v>
      </c>
      <c r="C76" s="77">
        <v>1.45</v>
      </c>
    </row>
    <row r="77" spans="1:8 16382:16383" x14ac:dyDescent="0.25">
      <c r="A77" s="79" t="s">
        <v>432</v>
      </c>
      <c r="B77" s="80" t="s">
        <v>44</v>
      </c>
      <c r="C77" s="68">
        <f>C75*C76</f>
        <v>4.5709791569177307</v>
      </c>
    </row>
  </sheetData>
  <sheetProtection sheet="1" objects="1" scenarios="1" insertColumns="0" insertRows="0" deleteColumns="0" deleteRows="0"/>
  <mergeCells count="6">
    <mergeCell ref="D70:G70"/>
    <mergeCell ref="B15:C15"/>
    <mergeCell ref="B16:C16"/>
    <mergeCell ref="B57:C57"/>
    <mergeCell ref="B58:C58"/>
    <mergeCell ref="D63:G6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5D86444-99FC-48FA-A3C9-4BB064C3536D}">
          <x14:formula1>
            <xm:f>'Modelos de modulos FV'!$B$3:$B$9</xm:f>
          </x14:formula1>
          <xm:sqref>B15:C15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CF45-3A95-415E-BC11-8BAC5B51AE97}">
  <dimension ref="A2:G9"/>
  <sheetViews>
    <sheetView workbookViewId="0"/>
  </sheetViews>
  <sheetFormatPr baseColWidth="10" defaultRowHeight="15" x14ac:dyDescent="0.25"/>
  <cols>
    <col min="1" max="1" width="15" bestFit="1" customWidth="1"/>
    <col min="2" max="2" width="28" bestFit="1" customWidth="1"/>
    <col min="3" max="3" width="13.140625" bestFit="1" customWidth="1"/>
    <col min="4" max="4" width="9.7109375" bestFit="1" customWidth="1"/>
    <col min="5" max="5" width="11.85546875" customWidth="1"/>
  </cols>
  <sheetData>
    <row r="2" spans="1:7" ht="24" x14ac:dyDescent="0.25">
      <c r="A2" s="37" t="s">
        <v>283</v>
      </c>
      <c r="B2" s="37" t="s">
        <v>279</v>
      </c>
      <c r="C2" s="37" t="s">
        <v>281</v>
      </c>
      <c r="D2" s="37" t="s">
        <v>280</v>
      </c>
      <c r="E2" s="37" t="s">
        <v>76</v>
      </c>
      <c r="F2" s="37" t="s">
        <v>75</v>
      </c>
      <c r="G2" s="37" t="s">
        <v>285</v>
      </c>
    </row>
    <row r="3" spans="1:7" x14ac:dyDescent="0.25">
      <c r="A3" t="s">
        <v>291</v>
      </c>
      <c r="B3" t="s">
        <v>292</v>
      </c>
      <c r="C3">
        <v>2</v>
      </c>
      <c r="D3">
        <v>1.8</v>
      </c>
      <c r="E3">
        <v>0.9</v>
      </c>
      <c r="F3">
        <v>0.45</v>
      </c>
      <c r="G3">
        <v>200</v>
      </c>
    </row>
    <row r="4" spans="1:7" x14ac:dyDescent="0.25">
      <c r="A4" t="s">
        <v>284</v>
      </c>
      <c r="B4" t="s">
        <v>286</v>
      </c>
      <c r="C4">
        <v>2</v>
      </c>
      <c r="D4">
        <v>1.86</v>
      </c>
      <c r="E4">
        <v>0.82299999999999995</v>
      </c>
      <c r="F4">
        <v>3.36</v>
      </c>
      <c r="G4">
        <v>350</v>
      </c>
    </row>
    <row r="5" spans="1:7" x14ac:dyDescent="0.25">
      <c r="A5" t="s">
        <v>284</v>
      </c>
      <c r="B5" t="s">
        <v>287</v>
      </c>
      <c r="C5">
        <v>2.37</v>
      </c>
      <c r="D5">
        <v>2.21</v>
      </c>
      <c r="E5">
        <v>0.82299999999999995</v>
      </c>
      <c r="F5">
        <v>3.36</v>
      </c>
      <c r="G5">
        <v>395</v>
      </c>
    </row>
    <row r="6" spans="1:7" x14ac:dyDescent="0.25">
      <c r="A6" t="s">
        <v>284</v>
      </c>
      <c r="B6" t="s">
        <v>288</v>
      </c>
      <c r="C6">
        <v>2.83</v>
      </c>
      <c r="D6">
        <v>2.5499999999999998</v>
      </c>
      <c r="E6">
        <v>0.749</v>
      </c>
      <c r="F6">
        <v>5.819</v>
      </c>
      <c r="G6">
        <v>419</v>
      </c>
    </row>
    <row r="7" spans="1:7" x14ac:dyDescent="0.25">
      <c r="A7" t="s">
        <v>284</v>
      </c>
      <c r="B7" t="s">
        <v>289</v>
      </c>
      <c r="C7">
        <v>2.82</v>
      </c>
      <c r="D7">
        <v>2.65</v>
      </c>
      <c r="E7">
        <v>0.70399999999999996</v>
      </c>
      <c r="F7">
        <v>3.5550000000000002</v>
      </c>
      <c r="G7">
        <v>550</v>
      </c>
    </row>
    <row r="8" spans="1:7" x14ac:dyDescent="0.25">
      <c r="A8" t="s">
        <v>284</v>
      </c>
      <c r="B8" t="s">
        <v>290</v>
      </c>
      <c r="C8">
        <v>2.82</v>
      </c>
      <c r="D8">
        <v>2.65</v>
      </c>
      <c r="E8">
        <v>0.71099999999999997</v>
      </c>
      <c r="F8">
        <v>3.1680000000000001</v>
      </c>
      <c r="G8">
        <v>550</v>
      </c>
    </row>
    <row r="9" spans="1:7" x14ac:dyDescent="0.25">
      <c r="A9" t="s">
        <v>323</v>
      </c>
      <c r="B9" t="s">
        <v>324</v>
      </c>
      <c r="C9">
        <v>1.97</v>
      </c>
      <c r="D9">
        <v>1.89</v>
      </c>
      <c r="E9">
        <v>0.755</v>
      </c>
      <c r="F9">
        <v>3.72</v>
      </c>
      <c r="G9">
        <v>630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3DF2-A183-4CCC-943D-17A59E658293}">
  <dimension ref="A2:L9"/>
  <sheetViews>
    <sheetView zoomScaleNormal="100" workbookViewId="0">
      <selection activeCell="G28" sqref="G28"/>
    </sheetView>
  </sheetViews>
  <sheetFormatPr baseColWidth="10" defaultRowHeight="15" x14ac:dyDescent="0.25"/>
  <cols>
    <col min="1" max="1" width="12.85546875" bestFit="1" customWidth="1"/>
    <col min="2" max="2" width="26.140625" bestFit="1" customWidth="1"/>
    <col min="3" max="3" width="20.7109375" bestFit="1" customWidth="1"/>
    <col min="4" max="4" width="9.7109375" bestFit="1" customWidth="1"/>
    <col min="5" max="5" width="11.85546875" customWidth="1"/>
  </cols>
  <sheetData>
    <row r="2" spans="1:12" ht="60" x14ac:dyDescent="0.25">
      <c r="A2" s="37" t="s">
        <v>283</v>
      </c>
      <c r="B2" s="37" t="s">
        <v>279</v>
      </c>
      <c r="C2" s="37" t="s">
        <v>381</v>
      </c>
      <c r="D2" s="37" t="s">
        <v>382</v>
      </c>
      <c r="E2" s="37" t="s">
        <v>383</v>
      </c>
      <c r="F2" s="37" t="s">
        <v>384</v>
      </c>
      <c r="G2" s="37" t="s">
        <v>385</v>
      </c>
      <c r="H2" s="37" t="s">
        <v>386</v>
      </c>
      <c r="I2" s="37" t="s">
        <v>387</v>
      </c>
      <c r="J2" s="37" t="s">
        <v>388</v>
      </c>
      <c r="K2" s="37" t="s">
        <v>396</v>
      </c>
      <c r="L2" s="37" t="s">
        <v>397</v>
      </c>
    </row>
    <row r="3" spans="1:12" x14ac:dyDescent="0.25">
      <c r="A3" t="s">
        <v>393</v>
      </c>
      <c r="B3" t="s">
        <v>394</v>
      </c>
      <c r="C3" t="s">
        <v>395</v>
      </c>
      <c r="D3">
        <v>26</v>
      </c>
      <c r="E3">
        <v>310</v>
      </c>
      <c r="F3">
        <v>45.6</v>
      </c>
      <c r="G3">
        <v>8.99</v>
      </c>
      <c r="H3">
        <v>36.299999999999997</v>
      </c>
      <c r="I3">
        <v>46</v>
      </c>
      <c r="J3">
        <v>8.5299999999999994</v>
      </c>
      <c r="K3">
        <v>-0.32</v>
      </c>
      <c r="L3">
        <v>0.05</v>
      </c>
    </row>
    <row r="4" spans="1:12" x14ac:dyDescent="0.25">
      <c r="A4" t="s">
        <v>393</v>
      </c>
      <c r="B4" t="s">
        <v>394</v>
      </c>
      <c r="C4" t="s">
        <v>395</v>
      </c>
      <c r="D4">
        <v>26</v>
      </c>
      <c r="E4">
        <v>310</v>
      </c>
      <c r="F4">
        <v>45.6</v>
      </c>
      <c r="G4">
        <v>8.99</v>
      </c>
      <c r="H4">
        <v>36.299999999999997</v>
      </c>
      <c r="I4">
        <v>46</v>
      </c>
      <c r="J4">
        <v>8.5299999999999994</v>
      </c>
      <c r="K4">
        <v>-0.32</v>
      </c>
      <c r="L4">
        <v>0.05</v>
      </c>
    </row>
    <row r="5" spans="1:12" x14ac:dyDescent="0.25">
      <c r="A5" t="s">
        <v>393</v>
      </c>
      <c r="B5" t="s">
        <v>394</v>
      </c>
      <c r="C5" t="s">
        <v>395</v>
      </c>
      <c r="D5">
        <v>26</v>
      </c>
      <c r="E5">
        <v>310</v>
      </c>
      <c r="F5">
        <v>45.6</v>
      </c>
      <c r="G5">
        <v>8.99</v>
      </c>
      <c r="H5">
        <v>36.299999999999997</v>
      </c>
      <c r="I5">
        <v>46</v>
      </c>
      <c r="J5">
        <v>8.5299999999999994</v>
      </c>
      <c r="K5">
        <v>-0.32</v>
      </c>
      <c r="L5">
        <v>0.05</v>
      </c>
    </row>
    <row r="6" spans="1:12" x14ac:dyDescent="0.25">
      <c r="A6" t="s">
        <v>393</v>
      </c>
      <c r="B6" t="s">
        <v>394</v>
      </c>
      <c r="C6" t="s">
        <v>395</v>
      </c>
      <c r="D6">
        <v>26</v>
      </c>
      <c r="E6">
        <v>310</v>
      </c>
      <c r="F6">
        <v>45.6</v>
      </c>
      <c r="G6">
        <v>8.99</v>
      </c>
      <c r="H6">
        <v>36.299999999999997</v>
      </c>
      <c r="I6">
        <v>46</v>
      </c>
      <c r="J6">
        <v>8.5299999999999994</v>
      </c>
      <c r="K6">
        <v>-0.32</v>
      </c>
      <c r="L6">
        <v>0.05</v>
      </c>
    </row>
    <row r="7" spans="1:12" x14ac:dyDescent="0.25">
      <c r="A7" t="s">
        <v>393</v>
      </c>
      <c r="B7" t="s">
        <v>394</v>
      </c>
      <c r="C7" t="s">
        <v>395</v>
      </c>
      <c r="D7">
        <v>26</v>
      </c>
      <c r="E7">
        <v>310</v>
      </c>
      <c r="F7">
        <v>45.6</v>
      </c>
      <c r="G7">
        <v>8.99</v>
      </c>
      <c r="H7">
        <v>36.299999999999997</v>
      </c>
      <c r="I7">
        <v>46</v>
      </c>
      <c r="J7">
        <v>8.5299999999999994</v>
      </c>
      <c r="K7">
        <v>-0.32</v>
      </c>
      <c r="L7">
        <v>0.05</v>
      </c>
    </row>
    <row r="8" spans="1:12" x14ac:dyDescent="0.25">
      <c r="A8" t="s">
        <v>393</v>
      </c>
      <c r="B8" t="s">
        <v>394</v>
      </c>
      <c r="C8" t="s">
        <v>395</v>
      </c>
      <c r="D8">
        <v>26</v>
      </c>
      <c r="E8">
        <v>310</v>
      </c>
      <c r="F8">
        <v>45.6</v>
      </c>
      <c r="G8">
        <v>8.99</v>
      </c>
      <c r="H8">
        <v>36.299999999999997</v>
      </c>
      <c r="I8">
        <v>46</v>
      </c>
      <c r="J8">
        <v>8.5299999999999994</v>
      </c>
      <c r="K8">
        <v>-0.32</v>
      </c>
      <c r="L8">
        <v>0.05</v>
      </c>
    </row>
    <row r="9" spans="1:12" x14ac:dyDescent="0.25">
      <c r="A9" t="s">
        <v>393</v>
      </c>
      <c r="B9" t="s">
        <v>394</v>
      </c>
      <c r="C9" t="s">
        <v>395</v>
      </c>
      <c r="D9">
        <v>26</v>
      </c>
      <c r="E9">
        <v>310</v>
      </c>
      <c r="F9">
        <v>45.6</v>
      </c>
      <c r="G9">
        <v>8.99</v>
      </c>
      <c r="H9">
        <v>36.299999999999997</v>
      </c>
      <c r="I9">
        <v>46</v>
      </c>
      <c r="J9">
        <v>8.5299999999999994</v>
      </c>
      <c r="K9">
        <v>-0.32</v>
      </c>
      <c r="L9">
        <v>0.05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864F-E003-408C-B462-E33C1ED110B3}">
  <dimension ref="A1:BS56"/>
  <sheetViews>
    <sheetView zoomScale="70" zoomScaleNormal="70" workbookViewId="0"/>
  </sheetViews>
  <sheetFormatPr baseColWidth="10" defaultRowHeight="15" x14ac:dyDescent="0.25"/>
  <cols>
    <col min="1" max="1" width="5.7109375" customWidth="1"/>
    <col min="2" max="2" width="20.7109375" customWidth="1"/>
    <col min="3" max="15" width="7.7109375" customWidth="1"/>
    <col min="17" max="29" width="7.7109375" customWidth="1"/>
    <col min="31" max="31" width="20.7109375" customWidth="1"/>
    <col min="47" max="47" width="20.7109375" customWidth="1"/>
    <col min="57" max="57" width="20.7109375" customWidth="1"/>
  </cols>
  <sheetData>
    <row r="1" spans="1:7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71" x14ac:dyDescent="0.25">
      <c r="A2" s="2" t="s">
        <v>456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 t="s">
        <v>128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2"/>
      <c r="AF2" s="2" t="s">
        <v>129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7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71" x14ac:dyDescent="0.25">
      <c r="A4" s="2"/>
      <c r="B4" s="2"/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Q4" s="3" t="s">
        <v>130</v>
      </c>
      <c r="R4" s="3" t="s">
        <v>131</v>
      </c>
      <c r="S4" s="3" t="s">
        <v>132</v>
      </c>
      <c r="T4" s="3" t="s">
        <v>133</v>
      </c>
      <c r="U4" s="3" t="s">
        <v>134</v>
      </c>
      <c r="V4" s="3" t="s">
        <v>135</v>
      </c>
      <c r="W4" s="3" t="s">
        <v>136</v>
      </c>
      <c r="X4" s="3" t="s">
        <v>137</v>
      </c>
      <c r="Y4" s="3" t="s">
        <v>138</v>
      </c>
      <c r="Z4" s="3" t="s">
        <v>139</v>
      </c>
      <c r="AA4" s="3" t="s">
        <v>140</v>
      </c>
      <c r="AB4" s="3" t="s">
        <v>141</v>
      </c>
      <c r="AC4" s="3" t="s">
        <v>142</v>
      </c>
      <c r="AE4" s="2"/>
      <c r="AF4" s="3" t="s">
        <v>130</v>
      </c>
      <c r="AG4" s="3" t="s">
        <v>131</v>
      </c>
      <c r="AH4" s="3" t="s">
        <v>132</v>
      </c>
      <c r="AI4" s="3" t="s">
        <v>133</v>
      </c>
      <c r="AJ4" s="3" t="s">
        <v>134</v>
      </c>
      <c r="AK4" s="3" t="s">
        <v>135</v>
      </c>
      <c r="AL4" s="3" t="s">
        <v>136</v>
      </c>
      <c r="AM4" s="3" t="s">
        <v>137</v>
      </c>
      <c r="AN4" s="3" t="s">
        <v>138</v>
      </c>
      <c r="AO4" s="3" t="s">
        <v>139</v>
      </c>
      <c r="AP4" s="3" t="s">
        <v>140</v>
      </c>
      <c r="AQ4" s="3" t="s">
        <v>141</v>
      </c>
      <c r="AR4" s="3" t="s">
        <v>0</v>
      </c>
      <c r="AV4" t="s">
        <v>222</v>
      </c>
      <c r="AW4" t="s">
        <v>223</v>
      </c>
      <c r="AX4" t="s">
        <v>224</v>
      </c>
      <c r="AY4" t="s">
        <v>2</v>
      </c>
      <c r="BE4" s="2"/>
      <c r="BF4" s="3" t="s">
        <v>130</v>
      </c>
      <c r="BG4" s="3" t="s">
        <v>131</v>
      </c>
      <c r="BH4" s="3" t="s">
        <v>132</v>
      </c>
      <c r="BI4" s="3" t="s">
        <v>133</v>
      </c>
      <c r="BJ4" s="3" t="s">
        <v>134</v>
      </c>
      <c r="BK4" s="3" t="s">
        <v>135</v>
      </c>
      <c r="BL4" s="3" t="s">
        <v>136</v>
      </c>
      <c r="BM4" s="3" t="s">
        <v>137</v>
      </c>
      <c r="BN4" s="3" t="s">
        <v>138</v>
      </c>
      <c r="BO4" s="3" t="s">
        <v>139</v>
      </c>
      <c r="BP4" s="3" t="s">
        <v>140</v>
      </c>
      <c r="BQ4" s="3" t="s">
        <v>141</v>
      </c>
      <c r="BR4" s="3"/>
      <c r="BS4" s="110"/>
    </row>
    <row r="5" spans="1:71" x14ac:dyDescent="0.25">
      <c r="A5" s="4">
        <v>1</v>
      </c>
      <c r="B5" s="5" t="s">
        <v>143</v>
      </c>
      <c r="C5" s="6">
        <v>4.5999999999999996</v>
      </c>
      <c r="D5" s="6">
        <v>6.9</v>
      </c>
      <c r="E5" s="6">
        <v>11.2</v>
      </c>
      <c r="F5" s="6">
        <v>13</v>
      </c>
      <c r="G5" s="6">
        <v>14.8</v>
      </c>
      <c r="H5" s="6">
        <v>16.600000000000001</v>
      </c>
      <c r="I5" s="6">
        <v>18.100000000000001</v>
      </c>
      <c r="J5" s="6">
        <v>17.3</v>
      </c>
      <c r="K5" s="6">
        <v>14.3</v>
      </c>
      <c r="L5" s="6">
        <v>9.5</v>
      </c>
      <c r="M5" s="6">
        <v>5.5</v>
      </c>
      <c r="N5" s="6">
        <v>4.0999999999999996</v>
      </c>
      <c r="O5" s="7">
        <f t="shared" ref="O5:O56" si="0">SUM(C5:N5)/12</f>
        <v>11.324999999999998</v>
      </c>
      <c r="Q5" s="6">
        <v>7</v>
      </c>
      <c r="R5" s="6">
        <v>7</v>
      </c>
      <c r="S5" s="6">
        <v>11</v>
      </c>
      <c r="T5" s="6">
        <v>12</v>
      </c>
      <c r="U5" s="6">
        <v>15</v>
      </c>
      <c r="V5" s="6">
        <v>19</v>
      </c>
      <c r="W5" s="6">
        <v>21</v>
      </c>
      <c r="X5" s="6">
        <v>21</v>
      </c>
      <c r="Y5" s="6">
        <v>19</v>
      </c>
      <c r="Z5" s="6">
        <v>15</v>
      </c>
      <c r="AA5" s="6">
        <v>10</v>
      </c>
      <c r="AB5" s="6">
        <v>7</v>
      </c>
      <c r="AC5" s="7">
        <f t="shared" ref="AC5:AC56" si="1">SUM(Q5:AB5)/12</f>
        <v>13.666666666666666</v>
      </c>
      <c r="AE5" s="5" t="s">
        <v>143</v>
      </c>
      <c r="AF5" s="2">
        <v>7</v>
      </c>
      <c r="AG5" s="2">
        <v>7</v>
      </c>
      <c r="AH5" s="2">
        <v>8</v>
      </c>
      <c r="AI5" s="2">
        <v>10</v>
      </c>
      <c r="AJ5" s="2">
        <v>12</v>
      </c>
      <c r="AK5" s="2">
        <v>14</v>
      </c>
      <c r="AL5" s="2">
        <v>16</v>
      </c>
      <c r="AM5" s="2">
        <v>16</v>
      </c>
      <c r="AN5" s="2">
        <v>14</v>
      </c>
      <c r="AO5" s="2">
        <v>12</v>
      </c>
      <c r="AP5" s="2">
        <v>8</v>
      </c>
      <c r="AQ5" s="2">
        <v>7</v>
      </c>
      <c r="AR5" s="2">
        <v>512</v>
      </c>
      <c r="AU5" s="5" t="s">
        <v>143</v>
      </c>
      <c r="AV5" s="1">
        <v>542</v>
      </c>
      <c r="AW5" s="1">
        <v>42.9</v>
      </c>
      <c r="AX5" s="1" t="s">
        <v>225</v>
      </c>
      <c r="AY5" s="1">
        <v>-18</v>
      </c>
      <c r="BE5" s="5" t="s">
        <v>143</v>
      </c>
      <c r="BF5" s="2">
        <v>60</v>
      </c>
      <c r="BG5" s="2">
        <v>80</v>
      </c>
      <c r="BH5" s="2">
        <v>61</v>
      </c>
      <c r="BI5" s="2">
        <v>105</v>
      </c>
      <c r="BJ5" s="2">
        <v>177</v>
      </c>
      <c r="BK5" s="2">
        <v>167</v>
      </c>
      <c r="BL5" s="2">
        <v>141</v>
      </c>
      <c r="BM5" s="2">
        <v>216</v>
      </c>
      <c r="BN5" s="2">
        <v>173</v>
      </c>
      <c r="BO5" s="2">
        <v>152</v>
      </c>
      <c r="BP5" s="2">
        <v>95</v>
      </c>
      <c r="BQ5" s="2">
        <v>122</v>
      </c>
      <c r="BR5" s="2"/>
    </row>
    <row r="6" spans="1:71" x14ac:dyDescent="0.25">
      <c r="A6" s="4">
        <v>2</v>
      </c>
      <c r="B6" s="5" t="s">
        <v>144</v>
      </c>
      <c r="C6" s="6">
        <v>6.7</v>
      </c>
      <c r="D6" s="6">
        <v>10.5</v>
      </c>
      <c r="E6" s="6">
        <v>15</v>
      </c>
      <c r="F6" s="6">
        <v>19.2</v>
      </c>
      <c r="G6" s="6">
        <v>21.2</v>
      </c>
      <c r="H6" s="6">
        <v>25.1</v>
      </c>
      <c r="I6" s="6">
        <v>26.7</v>
      </c>
      <c r="J6" s="6">
        <v>23.2</v>
      </c>
      <c r="K6" s="6">
        <v>18.8</v>
      </c>
      <c r="L6" s="6">
        <v>12.4</v>
      </c>
      <c r="M6" s="6">
        <v>8.4</v>
      </c>
      <c r="N6" s="6">
        <v>6.4</v>
      </c>
      <c r="O6" s="7">
        <f t="shared" si="0"/>
        <v>16.133333333333336</v>
      </c>
      <c r="Q6" s="6">
        <v>6</v>
      </c>
      <c r="R6" s="6">
        <v>8</v>
      </c>
      <c r="S6" s="6">
        <v>11</v>
      </c>
      <c r="T6" s="6">
        <v>13</v>
      </c>
      <c r="U6" s="6">
        <v>17</v>
      </c>
      <c r="V6" s="6">
        <v>22</v>
      </c>
      <c r="W6" s="6">
        <v>26</v>
      </c>
      <c r="X6" s="6">
        <v>26</v>
      </c>
      <c r="Y6" s="6">
        <v>22</v>
      </c>
      <c r="Z6" s="6">
        <v>16</v>
      </c>
      <c r="AA6" s="6">
        <v>11</v>
      </c>
      <c r="AB6" s="6">
        <v>7</v>
      </c>
      <c r="AC6" s="7">
        <f t="shared" si="1"/>
        <v>15.416666666666666</v>
      </c>
      <c r="AE6" s="5" t="s">
        <v>144</v>
      </c>
      <c r="AF6" s="2">
        <v>7</v>
      </c>
      <c r="AG6" s="2">
        <v>8</v>
      </c>
      <c r="AH6" s="2">
        <v>9</v>
      </c>
      <c r="AI6" s="2">
        <v>11</v>
      </c>
      <c r="AJ6" s="2">
        <v>14</v>
      </c>
      <c r="AK6" s="2">
        <v>17</v>
      </c>
      <c r="AL6" s="2">
        <v>19</v>
      </c>
      <c r="AM6" s="2">
        <v>19</v>
      </c>
      <c r="AN6" s="2">
        <v>17</v>
      </c>
      <c r="AO6" s="2">
        <v>13</v>
      </c>
      <c r="AP6" s="2">
        <v>9</v>
      </c>
      <c r="AQ6" s="2">
        <v>7</v>
      </c>
      <c r="AR6" s="2">
        <v>677</v>
      </c>
      <c r="AU6" s="5" t="s">
        <v>144</v>
      </c>
      <c r="AV6" s="1">
        <v>686</v>
      </c>
      <c r="AW6" s="1">
        <v>39</v>
      </c>
      <c r="AX6" s="1" t="s">
        <v>226</v>
      </c>
      <c r="AY6" s="1">
        <v>-23</v>
      </c>
      <c r="BE6" s="5" t="s">
        <v>144</v>
      </c>
      <c r="BF6" s="2">
        <v>172</v>
      </c>
      <c r="BG6" s="2">
        <v>177</v>
      </c>
      <c r="BH6" s="2">
        <v>255</v>
      </c>
      <c r="BI6" s="2">
        <v>246</v>
      </c>
      <c r="BJ6" s="2">
        <v>292</v>
      </c>
      <c r="BK6" s="2">
        <v>357</v>
      </c>
      <c r="BL6" s="2">
        <v>366</v>
      </c>
      <c r="BM6" s="2">
        <v>357</v>
      </c>
      <c r="BN6" s="2">
        <v>313</v>
      </c>
      <c r="BO6" s="2">
        <v>219</v>
      </c>
      <c r="BP6" s="2">
        <v>173</v>
      </c>
      <c r="BQ6" s="2">
        <v>136</v>
      </c>
      <c r="BR6" s="2"/>
    </row>
    <row r="7" spans="1:71" x14ac:dyDescent="0.25">
      <c r="A7" s="4">
        <v>3</v>
      </c>
      <c r="B7" s="5" t="s">
        <v>145</v>
      </c>
      <c r="C7" s="6">
        <v>8.5</v>
      </c>
      <c r="D7" s="6">
        <v>12</v>
      </c>
      <c r="E7" s="6">
        <v>16.3</v>
      </c>
      <c r="F7" s="6">
        <v>18.899999999999999</v>
      </c>
      <c r="G7" s="6">
        <v>23.1</v>
      </c>
      <c r="H7" s="6">
        <v>24.8</v>
      </c>
      <c r="I7" s="6">
        <v>25.8</v>
      </c>
      <c r="J7" s="6">
        <v>22.5</v>
      </c>
      <c r="K7" s="6">
        <v>18.3</v>
      </c>
      <c r="L7" s="6">
        <v>13.6</v>
      </c>
      <c r="M7" s="6">
        <v>9.8000000000000007</v>
      </c>
      <c r="N7" s="6">
        <v>7.6</v>
      </c>
      <c r="O7" s="7">
        <f t="shared" si="0"/>
        <v>16.766666666666669</v>
      </c>
      <c r="Q7" s="6">
        <v>13</v>
      </c>
      <c r="R7" s="6">
        <v>14</v>
      </c>
      <c r="S7" s="6">
        <v>16</v>
      </c>
      <c r="T7" s="6">
        <v>18</v>
      </c>
      <c r="U7" s="6">
        <v>21</v>
      </c>
      <c r="V7" s="6">
        <v>25</v>
      </c>
      <c r="W7" s="6">
        <v>28</v>
      </c>
      <c r="X7" s="6">
        <v>28</v>
      </c>
      <c r="Y7" s="6">
        <v>26</v>
      </c>
      <c r="Z7" s="6">
        <v>21</v>
      </c>
      <c r="AA7" s="6">
        <v>17</v>
      </c>
      <c r="AB7" s="6">
        <v>14</v>
      </c>
      <c r="AC7" s="7">
        <f t="shared" si="1"/>
        <v>20.083333333333332</v>
      </c>
      <c r="AE7" s="5" t="s">
        <v>145</v>
      </c>
      <c r="AF7" s="2">
        <v>11</v>
      </c>
      <c r="AG7" s="2">
        <v>12</v>
      </c>
      <c r="AH7" s="2">
        <v>13</v>
      </c>
      <c r="AI7" s="2">
        <v>14</v>
      </c>
      <c r="AJ7" s="2">
        <v>16</v>
      </c>
      <c r="AK7" s="2">
        <v>18</v>
      </c>
      <c r="AL7" s="2">
        <v>20</v>
      </c>
      <c r="AM7" s="2">
        <v>20</v>
      </c>
      <c r="AN7" s="2">
        <v>19</v>
      </c>
      <c r="AO7" s="2">
        <v>16</v>
      </c>
      <c r="AP7" s="2">
        <v>13</v>
      </c>
      <c r="AQ7" s="2">
        <v>12</v>
      </c>
      <c r="AR7" s="2">
        <v>7</v>
      </c>
      <c r="AU7" s="5" t="s">
        <v>145</v>
      </c>
      <c r="AV7" s="1">
        <v>7</v>
      </c>
      <c r="AW7" s="1">
        <v>38.4</v>
      </c>
      <c r="AX7" s="1" t="s">
        <v>227</v>
      </c>
      <c r="AY7" s="1">
        <v>-5</v>
      </c>
      <c r="BE7" s="5" t="s">
        <v>145</v>
      </c>
      <c r="BF7" s="2">
        <v>58</v>
      </c>
      <c r="BG7" s="2">
        <v>177</v>
      </c>
      <c r="BH7" s="2">
        <v>201</v>
      </c>
      <c r="BI7" s="2">
        <v>201</v>
      </c>
      <c r="BJ7" s="2">
        <v>143</v>
      </c>
      <c r="BK7" s="2">
        <v>200</v>
      </c>
      <c r="BL7" s="2">
        <v>271</v>
      </c>
      <c r="BM7" s="2">
        <v>292</v>
      </c>
      <c r="BN7" s="2">
        <v>222</v>
      </c>
      <c r="BO7" s="2">
        <v>98</v>
      </c>
      <c r="BP7" s="2">
        <v>133</v>
      </c>
      <c r="BQ7" s="2">
        <v>129</v>
      </c>
      <c r="BR7" s="2"/>
    </row>
    <row r="8" spans="1:71" x14ac:dyDescent="0.25">
      <c r="A8" s="4">
        <v>4</v>
      </c>
      <c r="B8" s="5" t="s">
        <v>146</v>
      </c>
      <c r="C8" s="6">
        <v>8.9</v>
      </c>
      <c r="D8" s="6">
        <v>12.2</v>
      </c>
      <c r="E8" s="6">
        <v>16.399999999999999</v>
      </c>
      <c r="F8" s="6">
        <v>19.600000000000001</v>
      </c>
      <c r="G8" s="6">
        <v>23.1</v>
      </c>
      <c r="H8" s="6">
        <v>24.6</v>
      </c>
      <c r="I8" s="6">
        <v>25.3</v>
      </c>
      <c r="J8" s="6">
        <v>22.5</v>
      </c>
      <c r="K8" s="6">
        <v>18.5</v>
      </c>
      <c r="L8" s="6">
        <v>13.9</v>
      </c>
      <c r="M8" s="6">
        <v>10</v>
      </c>
      <c r="N8" s="6">
        <v>8</v>
      </c>
      <c r="O8" s="7">
        <f t="shared" si="0"/>
        <v>16.916666666666668</v>
      </c>
      <c r="Q8" s="6">
        <v>15</v>
      </c>
      <c r="R8" s="6">
        <v>15</v>
      </c>
      <c r="S8" s="6">
        <v>16</v>
      </c>
      <c r="T8" s="6">
        <v>18</v>
      </c>
      <c r="U8" s="6">
        <v>21</v>
      </c>
      <c r="V8" s="6">
        <v>24</v>
      </c>
      <c r="W8" s="6">
        <v>27</v>
      </c>
      <c r="X8" s="6">
        <v>28</v>
      </c>
      <c r="Y8" s="6">
        <v>26</v>
      </c>
      <c r="Z8" s="6">
        <v>22</v>
      </c>
      <c r="AA8" s="6">
        <v>18</v>
      </c>
      <c r="AB8" s="6">
        <v>16</v>
      </c>
      <c r="AC8" s="7">
        <f t="shared" si="1"/>
        <v>20.5</v>
      </c>
      <c r="AE8" s="5" t="s">
        <v>146</v>
      </c>
      <c r="AF8" s="2">
        <v>12</v>
      </c>
      <c r="AG8" s="2">
        <v>12</v>
      </c>
      <c r="AH8" s="2">
        <v>13</v>
      </c>
      <c r="AI8" s="2">
        <v>14</v>
      </c>
      <c r="AJ8" s="2">
        <v>16</v>
      </c>
      <c r="AK8" s="2">
        <v>18</v>
      </c>
      <c r="AL8" s="2">
        <v>20</v>
      </c>
      <c r="AM8" s="2">
        <v>21</v>
      </c>
      <c r="AN8" s="2">
        <v>19</v>
      </c>
      <c r="AO8" s="2">
        <v>17</v>
      </c>
      <c r="AP8" s="2">
        <v>14</v>
      </c>
      <c r="AQ8" s="2">
        <v>12</v>
      </c>
      <c r="AR8" s="2">
        <v>0</v>
      </c>
      <c r="AU8" s="5" t="s">
        <v>146</v>
      </c>
      <c r="AV8" s="1">
        <v>65</v>
      </c>
      <c r="AW8" s="1">
        <v>36.9</v>
      </c>
      <c r="AX8" s="1" t="s">
        <v>228</v>
      </c>
      <c r="AY8" s="1">
        <v>-1</v>
      </c>
      <c r="BE8" s="5" t="s">
        <v>146</v>
      </c>
      <c r="BF8" s="2">
        <v>180</v>
      </c>
      <c r="BG8" s="2">
        <v>169</v>
      </c>
      <c r="BH8" s="2">
        <v>274</v>
      </c>
      <c r="BI8" s="2">
        <v>261</v>
      </c>
      <c r="BJ8" s="2">
        <v>316</v>
      </c>
      <c r="BK8" s="2">
        <v>351</v>
      </c>
      <c r="BL8" s="2">
        <v>360</v>
      </c>
      <c r="BM8" s="2">
        <v>350</v>
      </c>
      <c r="BN8" s="2">
        <v>294</v>
      </c>
      <c r="BO8" s="2">
        <v>235</v>
      </c>
      <c r="BP8" s="2">
        <v>190</v>
      </c>
      <c r="BQ8" s="2">
        <v>183</v>
      </c>
      <c r="BR8" s="2"/>
    </row>
    <row r="9" spans="1:71" x14ac:dyDescent="0.25">
      <c r="A9" s="4">
        <v>5</v>
      </c>
      <c r="B9" s="5" t="s">
        <v>147</v>
      </c>
      <c r="C9" s="6">
        <v>5.3</v>
      </c>
      <c r="D9" s="6">
        <v>7.7</v>
      </c>
      <c r="E9" s="6">
        <v>10.6</v>
      </c>
      <c r="F9" s="6">
        <v>12.2</v>
      </c>
      <c r="G9" s="6">
        <v>15</v>
      </c>
      <c r="H9" s="6">
        <v>15.2</v>
      </c>
      <c r="I9" s="6">
        <v>16.8</v>
      </c>
      <c r="J9" s="6">
        <v>14.8</v>
      </c>
      <c r="K9" s="6">
        <v>12.4</v>
      </c>
      <c r="L9" s="6">
        <v>9.8000000000000007</v>
      </c>
      <c r="M9" s="6">
        <v>5.9</v>
      </c>
      <c r="N9" s="6">
        <v>4.5999999999999996</v>
      </c>
      <c r="O9" s="7">
        <f t="shared" si="0"/>
        <v>10.858333333333334</v>
      </c>
      <c r="Q9" s="6">
        <v>9</v>
      </c>
      <c r="R9" s="6">
        <v>10</v>
      </c>
      <c r="S9" s="6">
        <v>11</v>
      </c>
      <c r="T9" s="6">
        <v>12</v>
      </c>
      <c r="U9" s="6">
        <v>15</v>
      </c>
      <c r="V9" s="6">
        <v>18</v>
      </c>
      <c r="W9" s="6">
        <v>20</v>
      </c>
      <c r="X9" s="6">
        <v>20</v>
      </c>
      <c r="Y9" s="6">
        <v>19</v>
      </c>
      <c r="Z9" s="6">
        <v>16</v>
      </c>
      <c r="AA9" s="6">
        <v>12</v>
      </c>
      <c r="AB9" s="6">
        <v>10</v>
      </c>
      <c r="AC9" s="7">
        <f t="shared" si="1"/>
        <v>14.333333333333334</v>
      </c>
      <c r="AE9" s="5" t="s">
        <v>147</v>
      </c>
      <c r="AF9" s="2">
        <v>9</v>
      </c>
      <c r="AG9" s="2">
        <v>9</v>
      </c>
      <c r="AH9" s="2">
        <v>10</v>
      </c>
      <c r="AI9" s="2">
        <v>10</v>
      </c>
      <c r="AJ9" s="2">
        <v>12</v>
      </c>
      <c r="AK9" s="2">
        <v>14</v>
      </c>
      <c r="AL9" s="2">
        <v>15</v>
      </c>
      <c r="AM9" s="2">
        <v>16</v>
      </c>
      <c r="AN9" s="2">
        <v>15</v>
      </c>
      <c r="AO9" s="2">
        <v>13</v>
      </c>
      <c r="AP9" s="2">
        <v>10</v>
      </c>
      <c r="AQ9" s="2">
        <v>9</v>
      </c>
      <c r="AR9" s="2">
        <v>214</v>
      </c>
      <c r="AU9" s="5" t="s">
        <v>147</v>
      </c>
      <c r="AV9" s="1">
        <v>232</v>
      </c>
      <c r="AW9" s="1">
        <v>43.4</v>
      </c>
      <c r="AX9" s="1" t="s">
        <v>229</v>
      </c>
      <c r="AY9" s="1">
        <v>-11</v>
      </c>
      <c r="BE9" s="5" t="s">
        <v>147</v>
      </c>
      <c r="BF9" s="2">
        <v>60</v>
      </c>
      <c r="BG9" s="2">
        <v>80</v>
      </c>
      <c r="BH9" s="2">
        <v>61</v>
      </c>
      <c r="BI9" s="2">
        <v>105</v>
      </c>
      <c r="BJ9" s="2">
        <v>177</v>
      </c>
      <c r="BK9" s="2">
        <v>167</v>
      </c>
      <c r="BL9" s="2">
        <v>141</v>
      </c>
      <c r="BM9" s="2">
        <v>216</v>
      </c>
      <c r="BN9" s="2">
        <v>173</v>
      </c>
      <c r="BO9" s="2">
        <v>152</v>
      </c>
      <c r="BP9" s="2">
        <v>95</v>
      </c>
      <c r="BQ9" s="2">
        <v>122</v>
      </c>
      <c r="BR9" s="2"/>
    </row>
    <row r="10" spans="1:71" x14ac:dyDescent="0.25">
      <c r="A10" s="4">
        <v>6</v>
      </c>
      <c r="B10" s="5" t="s">
        <v>148</v>
      </c>
      <c r="C10" s="6">
        <v>6</v>
      </c>
      <c r="D10" s="6">
        <v>9.1</v>
      </c>
      <c r="E10" s="6">
        <v>13.5</v>
      </c>
      <c r="F10" s="6">
        <v>17.7</v>
      </c>
      <c r="G10" s="6">
        <v>19.399999999999999</v>
      </c>
      <c r="H10" s="6">
        <v>22.3</v>
      </c>
      <c r="I10" s="6">
        <v>26.3</v>
      </c>
      <c r="J10" s="6">
        <v>25.3</v>
      </c>
      <c r="K10" s="6">
        <v>18.8</v>
      </c>
      <c r="L10" s="6">
        <v>11.2</v>
      </c>
      <c r="M10" s="6">
        <v>6.9</v>
      </c>
      <c r="N10" s="6">
        <v>5.2</v>
      </c>
      <c r="O10" s="7">
        <f t="shared" si="0"/>
        <v>15.141666666666666</v>
      </c>
      <c r="Q10" s="6">
        <v>4</v>
      </c>
      <c r="R10" s="6">
        <v>5</v>
      </c>
      <c r="S10" s="6">
        <v>8</v>
      </c>
      <c r="T10" s="6">
        <v>11</v>
      </c>
      <c r="U10" s="6">
        <v>14</v>
      </c>
      <c r="V10" s="6">
        <v>18</v>
      </c>
      <c r="W10" s="6">
        <v>22</v>
      </c>
      <c r="X10" s="6">
        <v>22</v>
      </c>
      <c r="Y10" s="6">
        <v>18</v>
      </c>
      <c r="Z10" s="6">
        <v>13</v>
      </c>
      <c r="AA10" s="6">
        <v>8</v>
      </c>
      <c r="AB10" s="6">
        <v>5</v>
      </c>
      <c r="AC10" s="7">
        <f t="shared" si="1"/>
        <v>12.333333333333334</v>
      </c>
      <c r="AE10" s="5" t="s">
        <v>148</v>
      </c>
      <c r="AF10" s="2">
        <v>6</v>
      </c>
      <c r="AG10" s="2">
        <v>6</v>
      </c>
      <c r="AH10" s="2">
        <v>7</v>
      </c>
      <c r="AI10" s="2">
        <v>9</v>
      </c>
      <c r="AJ10" s="2">
        <v>11</v>
      </c>
      <c r="AK10" s="2">
        <v>14</v>
      </c>
      <c r="AL10" s="2">
        <v>17</v>
      </c>
      <c r="AM10" s="2">
        <v>16</v>
      </c>
      <c r="AN10" s="2">
        <v>14</v>
      </c>
      <c r="AO10" s="2">
        <v>11</v>
      </c>
      <c r="AP10" s="2">
        <v>8</v>
      </c>
      <c r="AQ10" s="2">
        <v>6</v>
      </c>
      <c r="AR10" s="2">
        <v>1054</v>
      </c>
      <c r="AU10" s="5" t="s">
        <v>148</v>
      </c>
      <c r="AV10" s="1">
        <v>1126</v>
      </c>
      <c r="AW10" s="1">
        <v>40.700000000000003</v>
      </c>
      <c r="AX10" s="1" t="s">
        <v>230</v>
      </c>
      <c r="AY10" s="1">
        <v>-21</v>
      </c>
      <c r="BE10" s="5" t="s">
        <v>148</v>
      </c>
      <c r="BF10" s="2">
        <v>102</v>
      </c>
      <c r="BG10" s="2">
        <v>141</v>
      </c>
      <c r="BH10" s="2">
        <v>198</v>
      </c>
      <c r="BI10" s="2">
        <v>213</v>
      </c>
      <c r="BJ10" s="2">
        <v>262</v>
      </c>
      <c r="BK10" s="2">
        <v>359</v>
      </c>
      <c r="BL10" s="2">
        <v>381</v>
      </c>
      <c r="BM10" s="2">
        <v>381</v>
      </c>
      <c r="BN10" s="2">
        <v>295</v>
      </c>
      <c r="BO10" s="2">
        <v>208</v>
      </c>
      <c r="BP10" s="2">
        <v>121</v>
      </c>
      <c r="BQ10" s="2">
        <v>133</v>
      </c>
      <c r="BR10" s="2"/>
    </row>
    <row r="11" spans="1:71" x14ac:dyDescent="0.25">
      <c r="A11" s="4">
        <v>7</v>
      </c>
      <c r="B11" s="5" t="s">
        <v>149</v>
      </c>
      <c r="C11" s="6">
        <v>6.5</v>
      </c>
      <c r="D11" s="6">
        <v>10</v>
      </c>
      <c r="E11" s="6">
        <v>13.6</v>
      </c>
      <c r="F11" s="6">
        <v>18.7</v>
      </c>
      <c r="G11" s="6">
        <v>21.8</v>
      </c>
      <c r="H11" s="6">
        <v>24.6</v>
      </c>
      <c r="I11" s="6">
        <v>25.9</v>
      </c>
      <c r="J11" s="6">
        <v>23.8</v>
      </c>
      <c r="K11" s="6">
        <v>17.899999999999999</v>
      </c>
      <c r="L11" s="6">
        <v>12.3</v>
      </c>
      <c r="M11" s="6">
        <v>8.1999999999999993</v>
      </c>
      <c r="N11" s="6">
        <v>6.2</v>
      </c>
      <c r="O11" s="7">
        <f t="shared" si="0"/>
        <v>15.791666666666666</v>
      </c>
      <c r="Q11" s="6">
        <v>11</v>
      </c>
      <c r="R11" s="6">
        <v>12</v>
      </c>
      <c r="S11" s="6">
        <v>15</v>
      </c>
      <c r="T11" s="6">
        <v>17</v>
      </c>
      <c r="U11" s="6">
        <v>20</v>
      </c>
      <c r="V11" s="6">
        <v>25</v>
      </c>
      <c r="W11" s="6">
        <v>28</v>
      </c>
      <c r="X11" s="6">
        <v>28</v>
      </c>
      <c r="Y11" s="6">
        <v>25</v>
      </c>
      <c r="Z11" s="6">
        <v>20</v>
      </c>
      <c r="AA11" s="6">
        <v>15</v>
      </c>
      <c r="AB11" s="6">
        <v>11</v>
      </c>
      <c r="AC11" s="7">
        <f t="shared" si="1"/>
        <v>18.916666666666668</v>
      </c>
      <c r="AE11" s="5" t="s">
        <v>149</v>
      </c>
      <c r="AF11" s="2">
        <v>9</v>
      </c>
      <c r="AG11" s="2">
        <v>10</v>
      </c>
      <c r="AH11" s="2">
        <v>11</v>
      </c>
      <c r="AI11" s="2">
        <v>13</v>
      </c>
      <c r="AJ11" s="2">
        <v>15</v>
      </c>
      <c r="AK11" s="2">
        <v>18</v>
      </c>
      <c r="AL11" s="2">
        <v>20</v>
      </c>
      <c r="AM11" s="2">
        <v>20</v>
      </c>
      <c r="AN11" s="2">
        <v>18</v>
      </c>
      <c r="AO11" s="2">
        <v>15</v>
      </c>
      <c r="AP11" s="2">
        <v>12</v>
      </c>
      <c r="AQ11" s="2">
        <v>9</v>
      </c>
      <c r="AR11" s="2">
        <v>168</v>
      </c>
      <c r="AU11" s="5" t="s">
        <v>149</v>
      </c>
      <c r="AV11" s="1">
        <v>186</v>
      </c>
      <c r="AW11" s="1">
        <v>38.9</v>
      </c>
      <c r="AX11" s="1" t="s">
        <v>231</v>
      </c>
      <c r="AY11" s="1">
        <v>-6</v>
      </c>
      <c r="BE11" s="5" t="s">
        <v>149</v>
      </c>
      <c r="BF11" s="2">
        <v>172</v>
      </c>
      <c r="BG11" s="2">
        <v>177</v>
      </c>
      <c r="BH11" s="2">
        <v>255</v>
      </c>
      <c r="BI11" s="2">
        <v>246</v>
      </c>
      <c r="BJ11" s="2">
        <v>292</v>
      </c>
      <c r="BK11" s="2">
        <v>357</v>
      </c>
      <c r="BL11" s="2">
        <v>366</v>
      </c>
      <c r="BM11" s="2">
        <v>357</v>
      </c>
      <c r="BN11" s="2">
        <v>313</v>
      </c>
      <c r="BO11" s="2">
        <v>219</v>
      </c>
      <c r="BP11" s="2">
        <v>173</v>
      </c>
      <c r="BQ11" s="2">
        <v>136</v>
      </c>
      <c r="BR11" s="2"/>
    </row>
    <row r="12" spans="1:71" x14ac:dyDescent="0.25">
      <c r="A12" s="4">
        <v>8</v>
      </c>
      <c r="B12" s="5" t="s">
        <v>150</v>
      </c>
      <c r="C12" s="6">
        <v>7.2</v>
      </c>
      <c r="D12" s="6">
        <v>10.7</v>
      </c>
      <c r="E12" s="6">
        <v>14.4</v>
      </c>
      <c r="F12" s="6">
        <v>16.2</v>
      </c>
      <c r="G12" s="6">
        <v>21</v>
      </c>
      <c r="H12" s="6">
        <v>22.7</v>
      </c>
      <c r="I12" s="6">
        <v>24.2</v>
      </c>
      <c r="J12" s="6">
        <v>20.6</v>
      </c>
      <c r="K12" s="6">
        <v>16.399999999999999</v>
      </c>
      <c r="L12" s="6">
        <v>12.1</v>
      </c>
      <c r="M12" s="6">
        <v>8.5</v>
      </c>
      <c r="N12" s="6">
        <v>6.5</v>
      </c>
      <c r="O12" s="7">
        <f t="shared" si="0"/>
        <v>15.041666666666666</v>
      </c>
      <c r="Q12" s="6">
        <v>12</v>
      </c>
      <c r="R12" s="6">
        <v>13</v>
      </c>
      <c r="S12" s="6">
        <v>14</v>
      </c>
      <c r="T12" s="6">
        <v>17</v>
      </c>
      <c r="U12" s="6">
        <v>19</v>
      </c>
      <c r="V12" s="6">
        <v>23</v>
      </c>
      <c r="W12" s="6">
        <v>26</v>
      </c>
      <c r="X12" s="6">
        <v>27</v>
      </c>
      <c r="Y12" s="6">
        <v>25</v>
      </c>
      <c r="Z12" s="6">
        <v>20</v>
      </c>
      <c r="AA12" s="6">
        <v>16</v>
      </c>
      <c r="AB12" s="6">
        <v>14</v>
      </c>
      <c r="AC12" s="7">
        <f t="shared" si="1"/>
        <v>18.833333333333332</v>
      </c>
      <c r="AE12" s="5" t="s">
        <v>150</v>
      </c>
      <c r="AF12" s="2">
        <v>11</v>
      </c>
      <c r="AG12" s="2">
        <v>11</v>
      </c>
      <c r="AH12" s="2">
        <v>12</v>
      </c>
      <c r="AI12" s="2">
        <v>13</v>
      </c>
      <c r="AJ12" s="2">
        <v>15</v>
      </c>
      <c r="AK12" s="2">
        <v>18</v>
      </c>
      <c r="AL12" s="2">
        <v>20</v>
      </c>
      <c r="AM12" s="2">
        <v>20</v>
      </c>
      <c r="AN12" s="2">
        <v>19</v>
      </c>
      <c r="AO12" s="2">
        <v>17</v>
      </c>
      <c r="AP12" s="2">
        <v>14</v>
      </c>
      <c r="AQ12" s="2">
        <v>12</v>
      </c>
      <c r="AR12" s="2">
        <v>1</v>
      </c>
      <c r="AU12" s="5" t="s">
        <v>150</v>
      </c>
      <c r="AV12" s="1">
        <v>28</v>
      </c>
      <c r="AW12" s="1">
        <v>39.6</v>
      </c>
      <c r="AX12" s="1" t="s">
        <v>232</v>
      </c>
      <c r="AY12" s="1">
        <v>-4</v>
      </c>
      <c r="BE12" s="5" t="s">
        <v>150</v>
      </c>
      <c r="BF12" s="2">
        <v>58</v>
      </c>
      <c r="BG12" s="2">
        <v>177</v>
      </c>
      <c r="BH12" s="2">
        <v>201</v>
      </c>
      <c r="BI12" s="2">
        <v>201</v>
      </c>
      <c r="BJ12" s="2">
        <v>143</v>
      </c>
      <c r="BK12" s="2">
        <v>200</v>
      </c>
      <c r="BL12" s="2">
        <v>271</v>
      </c>
      <c r="BM12" s="2">
        <v>292</v>
      </c>
      <c r="BN12" s="2">
        <v>222</v>
      </c>
      <c r="BO12" s="2">
        <v>98</v>
      </c>
      <c r="BP12" s="2">
        <v>133</v>
      </c>
      <c r="BQ12" s="2">
        <v>129</v>
      </c>
      <c r="BR12" s="2"/>
    </row>
    <row r="13" spans="1:71" x14ac:dyDescent="0.25">
      <c r="A13" s="4">
        <v>9</v>
      </c>
      <c r="B13" s="5" t="s">
        <v>151</v>
      </c>
      <c r="C13" s="6">
        <v>6.5</v>
      </c>
      <c r="D13" s="6">
        <v>9.5</v>
      </c>
      <c r="E13" s="6">
        <v>12.9</v>
      </c>
      <c r="F13" s="6">
        <v>16.100000000000001</v>
      </c>
      <c r="G13" s="6">
        <v>18.600000000000001</v>
      </c>
      <c r="H13" s="6">
        <v>20.3</v>
      </c>
      <c r="I13" s="6">
        <v>21.6</v>
      </c>
      <c r="J13" s="6">
        <v>18.100000000000001</v>
      </c>
      <c r="K13" s="6">
        <v>14.6</v>
      </c>
      <c r="L13" s="6">
        <v>10.8</v>
      </c>
      <c r="M13" s="6">
        <v>7.2</v>
      </c>
      <c r="N13" s="6">
        <v>5.8</v>
      </c>
      <c r="O13" s="7">
        <f t="shared" si="0"/>
        <v>13.5</v>
      </c>
      <c r="Q13" s="6">
        <v>11</v>
      </c>
      <c r="R13" s="6">
        <v>12</v>
      </c>
      <c r="S13" s="6">
        <v>14</v>
      </c>
      <c r="T13" s="6">
        <v>17</v>
      </c>
      <c r="U13" s="6">
        <v>20</v>
      </c>
      <c r="V13" s="6">
        <v>24</v>
      </c>
      <c r="W13" s="6">
        <v>26</v>
      </c>
      <c r="X13" s="6">
        <v>26</v>
      </c>
      <c r="Y13" s="6">
        <v>24</v>
      </c>
      <c r="Z13" s="6">
        <v>20</v>
      </c>
      <c r="AA13" s="6">
        <v>16</v>
      </c>
      <c r="AB13" s="6">
        <v>12</v>
      </c>
      <c r="AC13" s="7">
        <f t="shared" si="1"/>
        <v>18.5</v>
      </c>
      <c r="AE13" s="5" t="s">
        <v>151</v>
      </c>
      <c r="AF13" s="2">
        <v>9</v>
      </c>
      <c r="AG13" s="2">
        <v>10</v>
      </c>
      <c r="AH13" s="2">
        <v>11</v>
      </c>
      <c r="AI13" s="2">
        <v>12</v>
      </c>
      <c r="AJ13" s="2">
        <v>14</v>
      </c>
      <c r="AK13" s="2">
        <v>17</v>
      </c>
      <c r="AL13" s="2">
        <v>19</v>
      </c>
      <c r="AM13" s="2">
        <v>19</v>
      </c>
      <c r="AN13" s="2">
        <v>17</v>
      </c>
      <c r="AO13" s="2">
        <v>15</v>
      </c>
      <c r="AP13" s="2">
        <v>12</v>
      </c>
      <c r="AQ13" s="2">
        <v>10</v>
      </c>
      <c r="AR13" s="2">
        <v>1</v>
      </c>
      <c r="AU13" s="5" t="s">
        <v>151</v>
      </c>
      <c r="AV13" s="1">
        <v>95</v>
      </c>
      <c r="AW13" s="1">
        <v>41.4</v>
      </c>
      <c r="AX13" s="1" t="s">
        <v>233</v>
      </c>
      <c r="AY13" s="1">
        <v>-7</v>
      </c>
      <c r="BE13" s="5" t="s">
        <v>151</v>
      </c>
      <c r="BF13" s="2">
        <v>58</v>
      </c>
      <c r="BG13" s="2">
        <v>177</v>
      </c>
      <c r="BH13" s="2">
        <v>201</v>
      </c>
      <c r="BI13" s="2">
        <v>201</v>
      </c>
      <c r="BJ13" s="2">
        <v>143</v>
      </c>
      <c r="BK13" s="2">
        <v>200</v>
      </c>
      <c r="BL13" s="2">
        <v>271</v>
      </c>
      <c r="BM13" s="2">
        <v>292</v>
      </c>
      <c r="BN13" s="2">
        <v>222</v>
      </c>
      <c r="BO13" s="2">
        <v>98</v>
      </c>
      <c r="BP13" s="2">
        <v>133</v>
      </c>
      <c r="BQ13" s="2">
        <v>129</v>
      </c>
      <c r="BR13" s="2"/>
    </row>
    <row r="14" spans="1:71" x14ac:dyDescent="0.25">
      <c r="A14" s="4">
        <v>10</v>
      </c>
      <c r="B14" s="5" t="s">
        <v>152</v>
      </c>
      <c r="C14" s="6">
        <v>5.0999999999999996</v>
      </c>
      <c r="D14" s="6">
        <v>7.9</v>
      </c>
      <c r="E14" s="6">
        <v>12.4</v>
      </c>
      <c r="F14" s="6">
        <v>16</v>
      </c>
      <c r="G14" s="6">
        <v>18.7</v>
      </c>
      <c r="H14" s="6">
        <v>21.5</v>
      </c>
      <c r="I14" s="6">
        <v>23</v>
      </c>
      <c r="J14" s="6">
        <v>20.7</v>
      </c>
      <c r="K14" s="6">
        <v>16.7</v>
      </c>
      <c r="L14" s="6">
        <v>10.1</v>
      </c>
      <c r="M14" s="6">
        <v>6.5</v>
      </c>
      <c r="N14" s="6">
        <v>4.5</v>
      </c>
      <c r="O14" s="7">
        <f t="shared" si="0"/>
        <v>13.591666666666667</v>
      </c>
      <c r="Q14" s="6">
        <v>5</v>
      </c>
      <c r="R14" s="6">
        <v>6</v>
      </c>
      <c r="S14" s="6">
        <v>9</v>
      </c>
      <c r="T14" s="6">
        <v>11</v>
      </c>
      <c r="U14" s="6">
        <v>14</v>
      </c>
      <c r="V14" s="6">
        <v>18</v>
      </c>
      <c r="W14" s="6">
        <v>21</v>
      </c>
      <c r="X14" s="6">
        <v>21</v>
      </c>
      <c r="Y14" s="6">
        <v>18</v>
      </c>
      <c r="Z14" s="6">
        <v>13</v>
      </c>
      <c r="AA14" s="6">
        <v>9</v>
      </c>
      <c r="AB14" s="6">
        <v>5</v>
      </c>
      <c r="AC14" s="7">
        <f t="shared" si="1"/>
        <v>12.5</v>
      </c>
      <c r="AE14" s="5" t="s">
        <v>152</v>
      </c>
      <c r="AF14" s="2">
        <v>5</v>
      </c>
      <c r="AG14" s="2">
        <v>6</v>
      </c>
      <c r="AH14" s="2">
        <v>7</v>
      </c>
      <c r="AI14" s="2">
        <v>9</v>
      </c>
      <c r="AJ14" s="2">
        <v>11</v>
      </c>
      <c r="AK14" s="2">
        <v>13</v>
      </c>
      <c r="AL14" s="2">
        <v>16</v>
      </c>
      <c r="AM14" s="2">
        <v>16</v>
      </c>
      <c r="AN14" s="2">
        <v>14</v>
      </c>
      <c r="AO14" s="2">
        <v>11</v>
      </c>
      <c r="AP14" s="2">
        <v>7</v>
      </c>
      <c r="AQ14" s="2">
        <v>6</v>
      </c>
      <c r="AR14" s="2">
        <v>861</v>
      </c>
      <c r="AU14" s="5" t="s">
        <v>152</v>
      </c>
      <c r="AV14" s="1">
        <v>929</v>
      </c>
      <c r="AW14" s="1">
        <v>42.3</v>
      </c>
      <c r="AX14" s="1" t="s">
        <v>234</v>
      </c>
      <c r="AY14" s="1">
        <v>-18</v>
      </c>
      <c r="BE14" s="5" t="s">
        <v>152</v>
      </c>
      <c r="BF14" s="2">
        <v>102</v>
      </c>
      <c r="BG14" s="2">
        <v>141</v>
      </c>
      <c r="BH14" s="2">
        <v>198</v>
      </c>
      <c r="BI14" s="2">
        <v>213</v>
      </c>
      <c r="BJ14" s="2">
        <v>262</v>
      </c>
      <c r="BK14" s="2">
        <v>359</v>
      </c>
      <c r="BL14" s="2">
        <v>381</v>
      </c>
      <c r="BM14" s="2">
        <v>381</v>
      </c>
      <c r="BN14" s="2">
        <v>295</v>
      </c>
      <c r="BO14" s="2">
        <v>208</v>
      </c>
      <c r="BP14" s="2">
        <v>121</v>
      </c>
      <c r="BQ14" s="2">
        <v>133</v>
      </c>
      <c r="BR14" s="2"/>
    </row>
    <row r="15" spans="1:71" x14ac:dyDescent="0.25">
      <c r="A15" s="4">
        <v>11</v>
      </c>
      <c r="B15" s="5" t="s">
        <v>153</v>
      </c>
      <c r="C15" s="6">
        <v>6.8</v>
      </c>
      <c r="D15" s="6">
        <v>10</v>
      </c>
      <c r="E15" s="6">
        <v>14.7</v>
      </c>
      <c r="F15" s="6">
        <v>19.600000000000001</v>
      </c>
      <c r="G15" s="6">
        <v>22.1</v>
      </c>
      <c r="H15" s="6">
        <v>25.1</v>
      </c>
      <c r="I15" s="6">
        <v>28.1</v>
      </c>
      <c r="J15" s="6">
        <v>25.4</v>
      </c>
      <c r="K15" s="6">
        <v>19.7</v>
      </c>
      <c r="L15" s="6">
        <v>12.7</v>
      </c>
      <c r="M15" s="6">
        <v>8.9</v>
      </c>
      <c r="N15" s="6">
        <v>6.6</v>
      </c>
      <c r="O15" s="7">
        <f t="shared" si="0"/>
        <v>16.641666666666666</v>
      </c>
      <c r="Q15" s="6">
        <v>10</v>
      </c>
      <c r="R15" s="6">
        <v>11</v>
      </c>
      <c r="S15" s="6">
        <v>14</v>
      </c>
      <c r="T15" s="6">
        <v>16</v>
      </c>
      <c r="U15" s="6">
        <v>19</v>
      </c>
      <c r="V15" s="6">
        <v>25</v>
      </c>
      <c r="W15" s="6">
        <v>28</v>
      </c>
      <c r="X15" s="6">
        <v>28</v>
      </c>
      <c r="Y15" s="6">
        <v>25</v>
      </c>
      <c r="Z15" s="6">
        <v>19</v>
      </c>
      <c r="AA15" s="6">
        <v>14</v>
      </c>
      <c r="AB15" s="6">
        <v>10</v>
      </c>
      <c r="AC15" s="7">
        <f t="shared" si="1"/>
        <v>18.25</v>
      </c>
      <c r="AE15" s="5" t="s">
        <v>153</v>
      </c>
      <c r="AF15" s="2">
        <v>9</v>
      </c>
      <c r="AG15" s="2">
        <v>10</v>
      </c>
      <c r="AH15" s="2">
        <v>11</v>
      </c>
      <c r="AI15" s="2">
        <v>12</v>
      </c>
      <c r="AJ15" s="2">
        <v>14</v>
      </c>
      <c r="AK15" s="2">
        <v>18</v>
      </c>
      <c r="AL15" s="2">
        <v>21</v>
      </c>
      <c r="AM15" s="2">
        <v>20</v>
      </c>
      <c r="AN15" s="2">
        <v>19</v>
      </c>
      <c r="AO15" s="2">
        <v>15</v>
      </c>
      <c r="AP15" s="2">
        <v>11</v>
      </c>
      <c r="AQ15" s="2">
        <v>9</v>
      </c>
      <c r="AR15" s="2">
        <v>385</v>
      </c>
      <c r="AU15" s="5" t="s">
        <v>153</v>
      </c>
      <c r="AV15" s="1">
        <v>459</v>
      </c>
      <c r="AW15" s="1">
        <v>39.5</v>
      </c>
      <c r="AX15" s="1" t="s">
        <v>235</v>
      </c>
      <c r="AY15" s="1">
        <v>-6</v>
      </c>
      <c r="BE15" s="5" t="s">
        <v>153</v>
      </c>
      <c r="BF15" s="2">
        <v>172</v>
      </c>
      <c r="BG15" s="2">
        <v>177</v>
      </c>
      <c r="BH15" s="2">
        <v>255</v>
      </c>
      <c r="BI15" s="2">
        <v>246</v>
      </c>
      <c r="BJ15" s="2">
        <v>292</v>
      </c>
      <c r="BK15" s="2">
        <v>357</v>
      </c>
      <c r="BL15" s="2">
        <v>366</v>
      </c>
      <c r="BM15" s="2">
        <v>357</v>
      </c>
      <c r="BN15" s="2">
        <v>313</v>
      </c>
      <c r="BO15" s="2">
        <v>219</v>
      </c>
      <c r="BP15" s="2">
        <v>173</v>
      </c>
      <c r="BQ15" s="2">
        <v>136</v>
      </c>
      <c r="BR15" s="2"/>
    </row>
    <row r="16" spans="1:71" x14ac:dyDescent="0.25">
      <c r="A16" s="4">
        <v>12</v>
      </c>
      <c r="B16" s="5" t="s">
        <v>154</v>
      </c>
      <c r="C16" s="6">
        <v>8.1</v>
      </c>
      <c r="D16" s="6">
        <v>11.5</v>
      </c>
      <c r="E16" s="6">
        <v>15.7</v>
      </c>
      <c r="F16" s="6">
        <v>18.5</v>
      </c>
      <c r="G16" s="6">
        <v>22.2</v>
      </c>
      <c r="H16" s="6">
        <v>23.8</v>
      </c>
      <c r="I16" s="6">
        <v>25.9</v>
      </c>
      <c r="J16" s="6">
        <v>23</v>
      </c>
      <c r="K16" s="6">
        <v>18.100000000000001</v>
      </c>
      <c r="L16" s="6">
        <v>14.2</v>
      </c>
      <c r="M16" s="6">
        <v>10</v>
      </c>
      <c r="N16" s="6">
        <v>7.4</v>
      </c>
      <c r="O16" s="7">
        <f t="shared" si="0"/>
        <v>16.533333333333331</v>
      </c>
      <c r="Q16" s="6">
        <v>13</v>
      </c>
      <c r="R16" s="6">
        <v>15</v>
      </c>
      <c r="S16" s="6">
        <v>17</v>
      </c>
      <c r="T16" s="6">
        <v>19</v>
      </c>
      <c r="U16" s="6">
        <v>21</v>
      </c>
      <c r="V16" s="6">
        <v>24</v>
      </c>
      <c r="W16" s="6">
        <v>27</v>
      </c>
      <c r="X16" s="6">
        <v>27</v>
      </c>
      <c r="Y16" s="6">
        <v>25</v>
      </c>
      <c r="Z16" s="6">
        <v>22</v>
      </c>
      <c r="AA16" s="6">
        <v>18</v>
      </c>
      <c r="AB16" s="6">
        <v>15</v>
      </c>
      <c r="AC16" s="7">
        <f t="shared" si="1"/>
        <v>20.25</v>
      </c>
      <c r="AE16" s="5" t="s">
        <v>154</v>
      </c>
      <c r="AF16" s="2">
        <v>12</v>
      </c>
      <c r="AG16" s="2">
        <v>12</v>
      </c>
      <c r="AH16" s="2">
        <v>13</v>
      </c>
      <c r="AI16" s="2">
        <v>14</v>
      </c>
      <c r="AJ16" s="2">
        <v>16</v>
      </c>
      <c r="AK16" s="2">
        <v>18</v>
      </c>
      <c r="AL16" s="2">
        <v>19</v>
      </c>
      <c r="AM16" s="2">
        <v>20</v>
      </c>
      <c r="AN16" s="2">
        <v>19</v>
      </c>
      <c r="AO16" s="2">
        <v>17</v>
      </c>
      <c r="AP16" s="2">
        <v>14</v>
      </c>
      <c r="AQ16" s="2">
        <v>12</v>
      </c>
      <c r="AR16" s="2">
        <v>0</v>
      </c>
      <c r="AU16" s="5" t="s">
        <v>154</v>
      </c>
      <c r="AV16" s="1">
        <v>28</v>
      </c>
      <c r="AW16" s="1">
        <v>36.5</v>
      </c>
      <c r="AX16" s="1" t="s">
        <v>236</v>
      </c>
      <c r="AY16" s="1">
        <v>-2</v>
      </c>
      <c r="BE16" s="5" t="s">
        <v>154</v>
      </c>
      <c r="BF16" s="2">
        <v>149</v>
      </c>
      <c r="BG16" s="2">
        <v>129</v>
      </c>
      <c r="BH16" s="2">
        <v>244</v>
      </c>
      <c r="BI16" s="2">
        <v>248</v>
      </c>
      <c r="BJ16" s="2">
        <v>285</v>
      </c>
      <c r="BK16" s="2">
        <v>364</v>
      </c>
      <c r="BL16" s="2">
        <v>348</v>
      </c>
      <c r="BM16" s="2">
        <v>352</v>
      </c>
      <c r="BN16" s="2">
        <v>294</v>
      </c>
      <c r="BO16" s="2">
        <v>214</v>
      </c>
      <c r="BP16" s="2">
        <v>152</v>
      </c>
      <c r="BQ16" s="2">
        <v>202</v>
      </c>
      <c r="BR16" s="2"/>
    </row>
    <row r="17" spans="1:70" x14ac:dyDescent="0.25">
      <c r="A17" s="4">
        <v>13</v>
      </c>
      <c r="B17" s="5" t="s">
        <v>155</v>
      </c>
      <c r="C17" s="6">
        <v>5</v>
      </c>
      <c r="D17" s="6">
        <v>7.4</v>
      </c>
      <c r="E17" s="6">
        <v>11</v>
      </c>
      <c r="F17" s="6">
        <v>13</v>
      </c>
      <c r="G17" s="6">
        <v>16.100000000000001</v>
      </c>
      <c r="H17" s="6">
        <v>17</v>
      </c>
      <c r="I17" s="6">
        <v>18.399999999999999</v>
      </c>
      <c r="J17" s="6">
        <v>15.5</v>
      </c>
      <c r="K17" s="6">
        <v>13</v>
      </c>
      <c r="L17" s="6">
        <v>9.5</v>
      </c>
      <c r="M17" s="6">
        <v>5.8</v>
      </c>
      <c r="N17" s="6">
        <v>4.5</v>
      </c>
      <c r="O17" s="7">
        <f t="shared" si="0"/>
        <v>11.350000000000001</v>
      </c>
      <c r="Q17" s="6">
        <v>11</v>
      </c>
      <c r="R17" s="6">
        <v>11</v>
      </c>
      <c r="S17" s="6">
        <v>14</v>
      </c>
      <c r="T17" s="6">
        <v>14</v>
      </c>
      <c r="U17" s="6">
        <v>16</v>
      </c>
      <c r="V17" s="6">
        <v>19</v>
      </c>
      <c r="W17" s="6">
        <v>21</v>
      </c>
      <c r="X17" s="6">
        <v>21</v>
      </c>
      <c r="Y17" s="6">
        <v>20</v>
      </c>
      <c r="Z17" s="6">
        <v>17</v>
      </c>
      <c r="AA17" s="6">
        <v>14</v>
      </c>
      <c r="AB17" s="6">
        <v>12</v>
      </c>
      <c r="AC17" s="7">
        <f t="shared" si="1"/>
        <v>15.833333333333334</v>
      </c>
      <c r="AE17" s="5" t="s">
        <v>155</v>
      </c>
      <c r="AF17" s="2">
        <v>10</v>
      </c>
      <c r="AG17" s="2">
        <v>10</v>
      </c>
      <c r="AH17" s="2">
        <v>11</v>
      </c>
      <c r="AI17" s="2">
        <v>11</v>
      </c>
      <c r="AJ17" s="2">
        <v>13</v>
      </c>
      <c r="AK17" s="2">
        <v>15</v>
      </c>
      <c r="AL17" s="2">
        <v>16</v>
      </c>
      <c r="AM17" s="2">
        <v>16</v>
      </c>
      <c r="AN17" s="2">
        <v>16</v>
      </c>
      <c r="AO17" s="2">
        <v>14</v>
      </c>
      <c r="AP17" s="2">
        <v>12</v>
      </c>
      <c r="AQ17" s="2">
        <v>10</v>
      </c>
      <c r="AR17" s="2">
        <v>1</v>
      </c>
      <c r="AU17" s="5" t="s">
        <v>155</v>
      </c>
      <c r="AV17" s="1">
        <v>69</v>
      </c>
      <c r="AW17" s="1">
        <v>43.5</v>
      </c>
      <c r="AX17" s="1" t="s">
        <v>237</v>
      </c>
      <c r="AY17" s="1">
        <v>-4</v>
      </c>
      <c r="BE17" s="5" t="s">
        <v>155</v>
      </c>
      <c r="BF17" s="2">
        <v>60</v>
      </c>
      <c r="BG17" s="2">
        <v>80</v>
      </c>
      <c r="BH17" s="2">
        <v>61</v>
      </c>
      <c r="BI17" s="2">
        <v>105</v>
      </c>
      <c r="BJ17" s="2">
        <v>177</v>
      </c>
      <c r="BK17" s="2">
        <v>167</v>
      </c>
      <c r="BL17" s="2">
        <v>141</v>
      </c>
      <c r="BM17" s="2">
        <v>216</v>
      </c>
      <c r="BN17" s="2">
        <v>173</v>
      </c>
      <c r="BO17" s="2">
        <v>152</v>
      </c>
      <c r="BP17" s="2">
        <v>95</v>
      </c>
      <c r="BQ17" s="2">
        <v>122</v>
      </c>
      <c r="BR17" s="2"/>
    </row>
    <row r="18" spans="1:70" x14ac:dyDescent="0.25">
      <c r="A18" s="4">
        <v>14</v>
      </c>
      <c r="B18" s="5" t="s">
        <v>156</v>
      </c>
      <c r="C18" s="6">
        <v>8</v>
      </c>
      <c r="D18" s="6">
        <v>12.2</v>
      </c>
      <c r="E18" s="6">
        <v>15.5</v>
      </c>
      <c r="F18" s="6">
        <v>17.399999999999999</v>
      </c>
      <c r="G18" s="6">
        <v>20.6</v>
      </c>
      <c r="H18" s="6">
        <v>21.4</v>
      </c>
      <c r="I18" s="6">
        <v>23.9</v>
      </c>
      <c r="J18" s="6">
        <v>19.5</v>
      </c>
      <c r="K18" s="6">
        <v>16.600000000000001</v>
      </c>
      <c r="L18" s="6">
        <v>13.1</v>
      </c>
      <c r="M18" s="6">
        <v>8.6</v>
      </c>
      <c r="N18" s="6">
        <v>7.3</v>
      </c>
      <c r="O18" s="7">
        <f t="shared" si="0"/>
        <v>15.341666666666667</v>
      </c>
      <c r="Q18" s="6">
        <v>13</v>
      </c>
      <c r="R18" s="6">
        <v>13</v>
      </c>
      <c r="S18" s="6">
        <v>15</v>
      </c>
      <c r="T18" s="6">
        <v>17</v>
      </c>
      <c r="U18" s="6">
        <v>20</v>
      </c>
      <c r="V18" s="6">
        <v>24</v>
      </c>
      <c r="W18" s="6">
        <v>26</v>
      </c>
      <c r="X18" s="6">
        <v>27</v>
      </c>
      <c r="Y18" s="6">
        <v>25</v>
      </c>
      <c r="Z18" s="6">
        <v>21</v>
      </c>
      <c r="AA18" s="6">
        <v>16</v>
      </c>
      <c r="AB18" s="6">
        <v>13</v>
      </c>
      <c r="AC18" s="7">
        <f t="shared" si="1"/>
        <v>19.166666666666668</v>
      </c>
      <c r="AE18" s="5" t="s">
        <v>156</v>
      </c>
      <c r="AF18" s="2">
        <v>10</v>
      </c>
      <c r="AG18" s="2">
        <v>11</v>
      </c>
      <c r="AH18" s="2">
        <v>12</v>
      </c>
      <c r="AI18" s="2">
        <v>13</v>
      </c>
      <c r="AJ18" s="2">
        <v>15</v>
      </c>
      <c r="AK18" s="2">
        <v>18</v>
      </c>
      <c r="AL18" s="2">
        <v>19</v>
      </c>
      <c r="AM18" s="2">
        <v>20</v>
      </c>
      <c r="AN18" s="2">
        <v>18</v>
      </c>
      <c r="AO18" s="2">
        <v>16</v>
      </c>
      <c r="AP18" s="2">
        <v>12</v>
      </c>
      <c r="AQ18" s="2">
        <v>11</v>
      </c>
      <c r="AR18" s="2">
        <v>18</v>
      </c>
      <c r="AU18" s="5" t="s">
        <v>156</v>
      </c>
      <c r="AV18" s="1">
        <v>27</v>
      </c>
      <c r="AW18" s="1">
        <v>40</v>
      </c>
      <c r="AX18" s="1">
        <v>0</v>
      </c>
      <c r="AY18" s="1">
        <v>-8</v>
      </c>
      <c r="BE18" s="5" t="s">
        <v>156</v>
      </c>
      <c r="BF18" s="2">
        <v>102</v>
      </c>
      <c r="BG18" s="2">
        <v>141</v>
      </c>
      <c r="BH18" s="2">
        <v>198</v>
      </c>
      <c r="BI18" s="2">
        <v>213</v>
      </c>
      <c r="BJ18" s="2">
        <v>262</v>
      </c>
      <c r="BK18" s="2">
        <v>359</v>
      </c>
      <c r="BL18" s="2">
        <v>381</v>
      </c>
      <c r="BM18" s="2">
        <v>381</v>
      </c>
      <c r="BN18" s="2">
        <v>295</v>
      </c>
      <c r="BO18" s="2">
        <v>208</v>
      </c>
      <c r="BP18" s="2">
        <v>121</v>
      </c>
      <c r="BQ18" s="2">
        <v>133</v>
      </c>
      <c r="BR18" s="2"/>
    </row>
    <row r="19" spans="1:70" x14ac:dyDescent="0.25">
      <c r="A19" s="4">
        <v>15</v>
      </c>
      <c r="B19" s="5" t="s">
        <v>157</v>
      </c>
      <c r="C19" s="6">
        <v>8.9</v>
      </c>
      <c r="D19" s="6">
        <v>13.1</v>
      </c>
      <c r="E19" s="6">
        <v>18.600000000000001</v>
      </c>
      <c r="F19" s="6">
        <v>21</v>
      </c>
      <c r="G19" s="6">
        <v>24.3</v>
      </c>
      <c r="H19" s="6">
        <v>26.7</v>
      </c>
      <c r="I19" s="6">
        <v>26.8</v>
      </c>
      <c r="J19" s="6">
        <v>24.3</v>
      </c>
      <c r="K19" s="6">
        <v>19.100000000000001</v>
      </c>
      <c r="L19" s="6">
        <v>14.2</v>
      </c>
      <c r="M19" s="6">
        <v>11</v>
      </c>
      <c r="N19" s="6">
        <v>8.6</v>
      </c>
      <c r="O19" s="7">
        <f t="shared" si="0"/>
        <v>18.05</v>
      </c>
      <c r="Q19" s="6">
        <v>15</v>
      </c>
      <c r="R19" s="6">
        <v>15</v>
      </c>
      <c r="S19" s="6">
        <v>16</v>
      </c>
      <c r="T19" s="6">
        <v>17</v>
      </c>
      <c r="U19" s="6">
        <v>19</v>
      </c>
      <c r="V19" s="6">
        <v>23</v>
      </c>
      <c r="W19" s="6">
        <v>25</v>
      </c>
      <c r="X19" s="6">
        <v>26</v>
      </c>
      <c r="Y19" s="6">
        <v>24</v>
      </c>
      <c r="Z19" s="6">
        <v>21</v>
      </c>
      <c r="AA19" s="6">
        <v>18</v>
      </c>
      <c r="AB19" s="6">
        <v>16</v>
      </c>
      <c r="AC19" s="7">
        <f t="shared" si="1"/>
        <v>19.583333333333332</v>
      </c>
      <c r="AE19" s="5" t="s">
        <v>157</v>
      </c>
      <c r="AF19" s="2">
        <v>11</v>
      </c>
      <c r="AG19" s="2">
        <v>11</v>
      </c>
      <c r="AH19" s="2">
        <v>12</v>
      </c>
      <c r="AI19" s="2">
        <v>13</v>
      </c>
      <c r="AJ19" s="2">
        <v>14</v>
      </c>
      <c r="AK19" s="2">
        <v>16</v>
      </c>
      <c r="AL19" s="2">
        <v>18</v>
      </c>
      <c r="AM19" s="2">
        <v>18</v>
      </c>
      <c r="AN19" s="2">
        <v>17</v>
      </c>
      <c r="AO19" s="2">
        <v>15</v>
      </c>
      <c r="AP19" s="2">
        <v>13</v>
      </c>
      <c r="AQ19" s="2">
        <v>12</v>
      </c>
      <c r="AR19" s="2">
        <v>0</v>
      </c>
      <c r="AU19" s="5" t="s">
        <v>157</v>
      </c>
      <c r="AV19" s="1">
        <v>206</v>
      </c>
      <c r="AW19" s="1">
        <v>35.9</v>
      </c>
      <c r="AX19" s="1" t="s">
        <v>238</v>
      </c>
      <c r="AY19" s="1">
        <v>-1</v>
      </c>
      <c r="BE19" s="5" t="s">
        <v>157</v>
      </c>
      <c r="BF19" s="2">
        <v>178</v>
      </c>
      <c r="BG19" s="2">
        <v>195</v>
      </c>
      <c r="BH19" s="2">
        <v>268</v>
      </c>
      <c r="BI19" s="2">
        <v>248</v>
      </c>
      <c r="BJ19" s="2">
        <v>262</v>
      </c>
      <c r="BK19" s="2">
        <v>300</v>
      </c>
      <c r="BL19" s="2">
        <v>263</v>
      </c>
      <c r="BM19" s="2">
        <v>280</v>
      </c>
      <c r="BN19" s="2">
        <v>235</v>
      </c>
      <c r="BO19" s="2">
        <v>197</v>
      </c>
      <c r="BP19" s="2">
        <v>182</v>
      </c>
      <c r="BQ19" s="2">
        <v>150</v>
      </c>
      <c r="BR19" s="2"/>
    </row>
    <row r="20" spans="1:70" x14ac:dyDescent="0.25">
      <c r="A20" s="4">
        <v>16</v>
      </c>
      <c r="B20" s="5" t="s">
        <v>158</v>
      </c>
      <c r="C20" s="6">
        <v>7</v>
      </c>
      <c r="D20" s="6">
        <v>10.1</v>
      </c>
      <c r="E20" s="6">
        <v>15</v>
      </c>
      <c r="F20" s="6">
        <v>18.7</v>
      </c>
      <c r="G20" s="6">
        <v>21.4</v>
      </c>
      <c r="H20" s="6">
        <v>23.7</v>
      </c>
      <c r="I20" s="6">
        <v>25.3</v>
      </c>
      <c r="J20" s="6">
        <v>23.2</v>
      </c>
      <c r="K20" s="6">
        <v>18.8</v>
      </c>
      <c r="L20" s="6">
        <v>12.5</v>
      </c>
      <c r="M20" s="6">
        <v>8.6999999999999993</v>
      </c>
      <c r="N20" s="6">
        <v>6.5</v>
      </c>
      <c r="O20" s="7">
        <f t="shared" si="0"/>
        <v>15.908333333333331</v>
      </c>
      <c r="Q20" s="6">
        <v>7</v>
      </c>
      <c r="R20" s="6">
        <v>9</v>
      </c>
      <c r="S20" s="6">
        <v>12</v>
      </c>
      <c r="T20" s="6">
        <v>15</v>
      </c>
      <c r="U20" s="6">
        <v>18</v>
      </c>
      <c r="V20" s="6">
        <v>23</v>
      </c>
      <c r="W20" s="6">
        <v>28</v>
      </c>
      <c r="X20" s="6">
        <v>27</v>
      </c>
      <c r="Y20" s="6">
        <v>20</v>
      </c>
      <c r="Z20" s="6">
        <v>17</v>
      </c>
      <c r="AA20" s="6">
        <v>11</v>
      </c>
      <c r="AB20" s="6">
        <v>8</v>
      </c>
      <c r="AC20" s="7">
        <f t="shared" si="1"/>
        <v>16.25</v>
      </c>
      <c r="AE20" s="5" t="s">
        <v>158</v>
      </c>
      <c r="AF20" s="2">
        <v>7</v>
      </c>
      <c r="AG20" s="2">
        <v>8</v>
      </c>
      <c r="AH20" s="2">
        <v>10</v>
      </c>
      <c r="AI20" s="2">
        <v>11</v>
      </c>
      <c r="AJ20" s="2">
        <v>14</v>
      </c>
      <c r="AK20" s="2">
        <v>17</v>
      </c>
      <c r="AL20" s="2">
        <v>20</v>
      </c>
      <c r="AM20" s="2">
        <v>20</v>
      </c>
      <c r="AN20" s="2">
        <v>17</v>
      </c>
      <c r="AO20" s="2">
        <v>13</v>
      </c>
      <c r="AP20" s="2">
        <v>10</v>
      </c>
      <c r="AQ20" s="2">
        <v>7</v>
      </c>
      <c r="AR20" s="2">
        <v>630</v>
      </c>
      <c r="AU20" s="5" t="s">
        <v>158</v>
      </c>
      <c r="AV20" s="1">
        <v>628</v>
      </c>
      <c r="AW20" s="1">
        <v>39</v>
      </c>
      <c r="AX20" s="1" t="s">
        <v>239</v>
      </c>
      <c r="AY20" s="1">
        <v>-10</v>
      </c>
      <c r="BE20" s="5" t="s">
        <v>158</v>
      </c>
      <c r="BF20" s="2">
        <v>172</v>
      </c>
      <c r="BG20" s="2">
        <v>177</v>
      </c>
      <c r="BH20" s="2">
        <v>255</v>
      </c>
      <c r="BI20" s="2">
        <v>246</v>
      </c>
      <c r="BJ20" s="2">
        <v>292</v>
      </c>
      <c r="BK20" s="2">
        <v>357</v>
      </c>
      <c r="BL20" s="2">
        <v>366</v>
      </c>
      <c r="BM20" s="2">
        <v>357</v>
      </c>
      <c r="BN20" s="2">
        <v>313</v>
      </c>
      <c r="BO20" s="2">
        <v>219</v>
      </c>
      <c r="BP20" s="2">
        <v>173</v>
      </c>
      <c r="BQ20" s="2">
        <v>136</v>
      </c>
      <c r="BR20" s="2"/>
    </row>
    <row r="21" spans="1:70" x14ac:dyDescent="0.25">
      <c r="A21" s="4">
        <v>17</v>
      </c>
      <c r="B21" s="5" t="s">
        <v>159</v>
      </c>
      <c r="C21" s="6">
        <v>7.2</v>
      </c>
      <c r="D21" s="6">
        <v>10.1</v>
      </c>
      <c r="E21" s="6">
        <v>15.1</v>
      </c>
      <c r="F21" s="6">
        <v>18.5</v>
      </c>
      <c r="G21" s="6">
        <v>21.8</v>
      </c>
      <c r="H21" s="6">
        <v>25.9</v>
      </c>
      <c r="I21" s="6">
        <v>28.5</v>
      </c>
      <c r="J21" s="6">
        <v>25.1</v>
      </c>
      <c r="K21" s="6">
        <v>19.899999999999999</v>
      </c>
      <c r="L21" s="6">
        <v>12.6</v>
      </c>
      <c r="M21" s="6">
        <v>8.6</v>
      </c>
      <c r="N21" s="6">
        <v>6.9</v>
      </c>
      <c r="O21" s="7">
        <f t="shared" si="0"/>
        <v>16.683333333333334</v>
      </c>
      <c r="Q21" s="6">
        <v>11</v>
      </c>
      <c r="R21" s="6">
        <v>13</v>
      </c>
      <c r="S21" s="6">
        <v>16</v>
      </c>
      <c r="T21" s="6">
        <v>18</v>
      </c>
      <c r="U21" s="6">
        <v>21</v>
      </c>
      <c r="V21" s="6">
        <v>26</v>
      </c>
      <c r="W21" s="6">
        <v>30</v>
      </c>
      <c r="X21" s="6">
        <v>30</v>
      </c>
      <c r="Y21" s="6">
        <v>26</v>
      </c>
      <c r="Z21" s="6">
        <v>21</v>
      </c>
      <c r="AA21" s="6">
        <v>16</v>
      </c>
      <c r="AB21" s="6">
        <v>12</v>
      </c>
      <c r="AC21" s="7">
        <f t="shared" si="1"/>
        <v>20</v>
      </c>
      <c r="AE21" s="5" t="s">
        <v>159</v>
      </c>
      <c r="AF21" s="2">
        <v>10</v>
      </c>
      <c r="AG21" s="2">
        <v>11</v>
      </c>
      <c r="AH21" s="2">
        <v>12</v>
      </c>
      <c r="AI21" s="2">
        <v>14</v>
      </c>
      <c r="AJ21" s="2">
        <v>16</v>
      </c>
      <c r="AK21" s="2">
        <v>19</v>
      </c>
      <c r="AL21" s="2">
        <v>21</v>
      </c>
      <c r="AM21" s="2">
        <v>21</v>
      </c>
      <c r="AN21" s="2">
        <v>19</v>
      </c>
      <c r="AO21" s="2">
        <v>16</v>
      </c>
      <c r="AP21" s="2">
        <v>12</v>
      </c>
      <c r="AQ21" s="2">
        <v>10</v>
      </c>
      <c r="AR21" s="2">
        <v>113</v>
      </c>
      <c r="AU21" s="5" t="s">
        <v>159</v>
      </c>
      <c r="AV21" s="1">
        <v>128</v>
      </c>
      <c r="AW21" s="1">
        <v>37.9</v>
      </c>
      <c r="AX21" s="1" t="s">
        <v>240</v>
      </c>
      <c r="AY21" s="1">
        <v>-6</v>
      </c>
      <c r="BE21" s="5" t="s">
        <v>159</v>
      </c>
      <c r="BF21" s="2">
        <v>149</v>
      </c>
      <c r="BG21" s="2">
        <v>129</v>
      </c>
      <c r="BH21" s="2">
        <v>244</v>
      </c>
      <c r="BI21" s="2">
        <v>248</v>
      </c>
      <c r="BJ21" s="2">
        <v>285</v>
      </c>
      <c r="BK21" s="2">
        <v>364</v>
      </c>
      <c r="BL21" s="2">
        <v>348</v>
      </c>
      <c r="BM21" s="2">
        <v>352</v>
      </c>
      <c r="BN21" s="2">
        <v>294</v>
      </c>
      <c r="BO21" s="2">
        <v>214</v>
      </c>
      <c r="BP21" s="2">
        <v>152</v>
      </c>
      <c r="BQ21" s="2">
        <v>202</v>
      </c>
      <c r="BR21" s="2"/>
    </row>
    <row r="22" spans="1:70" x14ac:dyDescent="0.25">
      <c r="A22" s="4">
        <v>18</v>
      </c>
      <c r="B22" s="5" t="s">
        <v>160</v>
      </c>
      <c r="C22" s="6">
        <v>5.4</v>
      </c>
      <c r="D22" s="6">
        <v>8</v>
      </c>
      <c r="E22" s="6">
        <v>11.4</v>
      </c>
      <c r="F22" s="6">
        <v>12.4</v>
      </c>
      <c r="G22" s="6">
        <v>15.4</v>
      </c>
      <c r="H22" s="6">
        <v>16.2</v>
      </c>
      <c r="I22" s="6">
        <v>17.399999999999999</v>
      </c>
      <c r="J22" s="6">
        <v>15.3</v>
      </c>
      <c r="K22" s="6">
        <v>13.9</v>
      </c>
      <c r="L22" s="6">
        <v>10.9</v>
      </c>
      <c r="M22" s="6">
        <v>6.4</v>
      </c>
      <c r="N22" s="6">
        <v>5.0999999999999996</v>
      </c>
      <c r="O22" s="7">
        <f t="shared" si="0"/>
        <v>11.483333333333333</v>
      </c>
      <c r="Q22" s="6">
        <v>12</v>
      </c>
      <c r="R22" s="6">
        <v>12</v>
      </c>
      <c r="S22" s="6">
        <v>14</v>
      </c>
      <c r="T22" s="6">
        <v>14</v>
      </c>
      <c r="U22" s="6">
        <v>16</v>
      </c>
      <c r="V22" s="6">
        <v>19</v>
      </c>
      <c r="W22" s="6">
        <v>20</v>
      </c>
      <c r="X22" s="6">
        <v>21</v>
      </c>
      <c r="Y22" s="6">
        <v>20</v>
      </c>
      <c r="Z22" s="6">
        <v>17</v>
      </c>
      <c r="AA22" s="6">
        <v>14</v>
      </c>
      <c r="AB22" s="6">
        <v>12</v>
      </c>
      <c r="AC22" s="7">
        <f t="shared" si="1"/>
        <v>15.916666666666666</v>
      </c>
      <c r="AE22" s="5" t="s">
        <v>160</v>
      </c>
      <c r="AF22" s="2">
        <v>10</v>
      </c>
      <c r="AG22" s="2">
        <v>10</v>
      </c>
      <c r="AH22" s="2">
        <v>11</v>
      </c>
      <c r="AI22" s="2">
        <v>12</v>
      </c>
      <c r="AJ22" s="2">
        <v>13</v>
      </c>
      <c r="AK22" s="2">
        <v>14</v>
      </c>
      <c r="AL22" s="2">
        <v>16</v>
      </c>
      <c r="AM22" s="2">
        <v>16</v>
      </c>
      <c r="AN22" s="2">
        <v>15</v>
      </c>
      <c r="AO22" s="2">
        <v>14</v>
      </c>
      <c r="AP22" s="2">
        <v>12</v>
      </c>
      <c r="AQ22" s="2">
        <v>11</v>
      </c>
      <c r="AR22" s="2">
        <v>0</v>
      </c>
      <c r="AU22" s="5" t="s">
        <v>160</v>
      </c>
      <c r="AV22" s="1">
        <v>54</v>
      </c>
      <c r="AW22" s="1">
        <v>43.4</v>
      </c>
      <c r="AX22" s="1" t="s">
        <v>241</v>
      </c>
      <c r="AY22" s="1">
        <v>-9</v>
      </c>
      <c r="BE22" s="5" t="s">
        <v>160</v>
      </c>
      <c r="BF22" s="2">
        <v>68</v>
      </c>
      <c r="BG22" s="2">
        <v>76</v>
      </c>
      <c r="BH22" s="2">
        <v>165</v>
      </c>
      <c r="BI22" s="2">
        <v>185</v>
      </c>
      <c r="BJ22" s="2">
        <v>197</v>
      </c>
      <c r="BK22" s="2">
        <v>240</v>
      </c>
      <c r="BL22" s="2">
        <v>333</v>
      </c>
      <c r="BM22" s="2">
        <v>312</v>
      </c>
      <c r="BN22" s="2">
        <v>214</v>
      </c>
      <c r="BO22" s="2">
        <v>211</v>
      </c>
      <c r="BP22" s="2">
        <v>129</v>
      </c>
      <c r="BQ22" s="2">
        <v>162</v>
      </c>
      <c r="BR22" s="2"/>
    </row>
    <row r="23" spans="1:70" x14ac:dyDescent="0.25">
      <c r="A23" s="4">
        <v>19</v>
      </c>
      <c r="B23" s="5" t="s">
        <v>161</v>
      </c>
      <c r="C23" s="6">
        <v>5.9</v>
      </c>
      <c r="D23" s="6">
        <v>8.8000000000000007</v>
      </c>
      <c r="E23" s="6">
        <v>12.9</v>
      </c>
      <c r="F23" s="6">
        <v>17.399999999999999</v>
      </c>
      <c r="G23" s="6">
        <v>18.7</v>
      </c>
      <c r="H23" s="6">
        <v>22</v>
      </c>
      <c r="I23" s="6">
        <v>25.6</v>
      </c>
      <c r="J23" s="6">
        <v>22.3</v>
      </c>
      <c r="K23" s="6">
        <v>17.5</v>
      </c>
      <c r="L23" s="6">
        <v>11.2</v>
      </c>
      <c r="M23" s="6">
        <v>7.2</v>
      </c>
      <c r="N23" s="6">
        <v>5.5</v>
      </c>
      <c r="O23" s="7">
        <f t="shared" si="0"/>
        <v>14.583333333333334</v>
      </c>
      <c r="Q23" s="6">
        <v>5</v>
      </c>
      <c r="R23" s="6">
        <v>6</v>
      </c>
      <c r="S23" s="6">
        <v>9</v>
      </c>
      <c r="T23" s="6">
        <v>12</v>
      </c>
      <c r="U23" s="6">
        <v>15</v>
      </c>
      <c r="V23" s="6">
        <v>20</v>
      </c>
      <c r="W23" s="6">
        <v>24</v>
      </c>
      <c r="X23" s="6">
        <v>23</v>
      </c>
      <c r="Y23" s="6">
        <v>20</v>
      </c>
      <c r="Z23" s="6">
        <v>14</v>
      </c>
      <c r="AA23" s="6">
        <v>9</v>
      </c>
      <c r="AB23" s="6">
        <v>6</v>
      </c>
      <c r="AC23" s="7">
        <f t="shared" si="1"/>
        <v>13.583333333333334</v>
      </c>
      <c r="AE23" s="5" t="s">
        <v>161</v>
      </c>
      <c r="AF23" s="2">
        <v>6</v>
      </c>
      <c r="AG23" s="2">
        <v>7</v>
      </c>
      <c r="AH23" s="2">
        <v>8</v>
      </c>
      <c r="AI23" s="2">
        <v>10</v>
      </c>
      <c r="AJ23" s="2">
        <v>13</v>
      </c>
      <c r="AK23" s="2">
        <v>16</v>
      </c>
      <c r="AL23" s="2">
        <v>18</v>
      </c>
      <c r="AM23" s="2">
        <v>18</v>
      </c>
      <c r="AN23" s="2">
        <v>16</v>
      </c>
      <c r="AO23" s="2">
        <v>12</v>
      </c>
      <c r="AP23" s="2">
        <v>9</v>
      </c>
      <c r="AQ23" s="2">
        <v>7</v>
      </c>
      <c r="AR23" s="2">
        <v>975</v>
      </c>
      <c r="AU23" s="5" t="s">
        <v>161</v>
      </c>
      <c r="AV23" s="1">
        <v>949</v>
      </c>
      <c r="AW23" s="1">
        <v>40.1</v>
      </c>
      <c r="AX23" s="1" t="s">
        <v>242</v>
      </c>
      <c r="AY23" s="1">
        <v>-21</v>
      </c>
      <c r="BE23" s="5" t="s">
        <v>161</v>
      </c>
      <c r="BF23" s="2">
        <v>102</v>
      </c>
      <c r="BG23" s="2">
        <v>141</v>
      </c>
      <c r="BH23" s="2">
        <v>198</v>
      </c>
      <c r="BI23" s="2">
        <v>213</v>
      </c>
      <c r="BJ23" s="2">
        <v>262</v>
      </c>
      <c r="BK23" s="2">
        <v>359</v>
      </c>
      <c r="BL23" s="2">
        <v>381</v>
      </c>
      <c r="BM23" s="2">
        <v>381</v>
      </c>
      <c r="BN23" s="2">
        <v>295</v>
      </c>
      <c r="BO23" s="2">
        <v>208</v>
      </c>
      <c r="BP23" s="2">
        <v>121</v>
      </c>
      <c r="BQ23" s="2">
        <v>133</v>
      </c>
      <c r="BR23" s="2"/>
    </row>
    <row r="24" spans="1:70" x14ac:dyDescent="0.25">
      <c r="A24" s="4">
        <v>20</v>
      </c>
      <c r="B24" s="5" t="s">
        <v>162</v>
      </c>
      <c r="C24" s="6">
        <v>7.1</v>
      </c>
      <c r="D24" s="6">
        <v>10.5</v>
      </c>
      <c r="E24" s="6">
        <v>14.2</v>
      </c>
      <c r="F24" s="6">
        <v>15.9</v>
      </c>
      <c r="G24" s="6">
        <v>18.7</v>
      </c>
      <c r="H24" s="6">
        <v>19</v>
      </c>
      <c r="I24" s="6">
        <v>22.3</v>
      </c>
      <c r="J24" s="6">
        <v>18.5</v>
      </c>
      <c r="K24" s="6">
        <v>14.9</v>
      </c>
      <c r="L24" s="6">
        <v>11.7</v>
      </c>
      <c r="M24" s="6">
        <v>7.8</v>
      </c>
      <c r="N24" s="6">
        <v>6.6</v>
      </c>
      <c r="O24" s="7">
        <f t="shared" si="0"/>
        <v>13.933333333333332</v>
      </c>
      <c r="Q24" s="6">
        <v>9</v>
      </c>
      <c r="R24" s="6">
        <v>10</v>
      </c>
      <c r="S24" s="6">
        <v>13</v>
      </c>
      <c r="T24" s="6">
        <v>15</v>
      </c>
      <c r="U24" s="6">
        <v>19</v>
      </c>
      <c r="V24" s="6">
        <v>23</v>
      </c>
      <c r="W24" s="6">
        <v>26</v>
      </c>
      <c r="X24" s="6">
        <v>25</v>
      </c>
      <c r="Y24" s="6">
        <v>23</v>
      </c>
      <c r="Z24" s="6">
        <v>18</v>
      </c>
      <c r="AA24" s="6">
        <v>13</v>
      </c>
      <c r="AB24" s="6">
        <v>10</v>
      </c>
      <c r="AC24" s="7">
        <f t="shared" si="1"/>
        <v>17</v>
      </c>
      <c r="AE24" s="5" t="s">
        <v>162</v>
      </c>
      <c r="AF24" s="2">
        <v>8</v>
      </c>
      <c r="AG24" s="2">
        <v>9</v>
      </c>
      <c r="AH24" s="2">
        <v>10</v>
      </c>
      <c r="AI24" s="2">
        <v>11</v>
      </c>
      <c r="AJ24" s="2">
        <v>14</v>
      </c>
      <c r="AK24" s="2">
        <v>16</v>
      </c>
      <c r="AL24" s="2">
        <v>19</v>
      </c>
      <c r="AM24" s="2">
        <v>18</v>
      </c>
      <c r="AN24" s="2">
        <v>17</v>
      </c>
      <c r="AO24" s="2">
        <v>14</v>
      </c>
      <c r="AP24" s="2">
        <v>10</v>
      </c>
      <c r="AQ24" s="2">
        <v>9</v>
      </c>
      <c r="AR24" s="2">
        <v>143</v>
      </c>
      <c r="AU24" s="5" t="s">
        <v>162</v>
      </c>
      <c r="AV24" s="1">
        <v>95</v>
      </c>
      <c r="AW24" s="1">
        <v>42</v>
      </c>
      <c r="AX24" s="1" t="s">
        <v>243</v>
      </c>
      <c r="AY24" s="1">
        <v>-11</v>
      </c>
      <c r="BE24" s="5" t="s">
        <v>162</v>
      </c>
      <c r="BF24" s="2">
        <v>102</v>
      </c>
      <c r="BG24" s="2">
        <v>141</v>
      </c>
      <c r="BH24" s="2">
        <v>198</v>
      </c>
      <c r="BI24" s="2">
        <v>213</v>
      </c>
      <c r="BJ24" s="2">
        <v>262</v>
      </c>
      <c r="BK24" s="2">
        <v>359</v>
      </c>
      <c r="BL24" s="2">
        <v>381</v>
      </c>
      <c r="BM24" s="2">
        <v>381</v>
      </c>
      <c r="BN24" s="2">
        <v>295</v>
      </c>
      <c r="BO24" s="2">
        <v>208</v>
      </c>
      <c r="BP24" s="2">
        <v>121</v>
      </c>
      <c r="BQ24" s="2">
        <v>133</v>
      </c>
      <c r="BR24" s="2"/>
    </row>
    <row r="25" spans="1:70" x14ac:dyDescent="0.25">
      <c r="A25" s="4">
        <v>21</v>
      </c>
      <c r="B25" s="5" t="s">
        <v>163</v>
      </c>
      <c r="C25" s="6">
        <v>7.8</v>
      </c>
      <c r="D25" s="6">
        <v>10.8</v>
      </c>
      <c r="E25" s="6">
        <v>15.2</v>
      </c>
      <c r="F25" s="6">
        <v>18.5</v>
      </c>
      <c r="G25" s="6">
        <v>21.9</v>
      </c>
      <c r="H25" s="6">
        <v>24.8</v>
      </c>
      <c r="I25" s="6">
        <v>26.7</v>
      </c>
      <c r="J25" s="6">
        <v>23.6</v>
      </c>
      <c r="K25" s="6">
        <v>18.8</v>
      </c>
      <c r="L25" s="6">
        <v>12.9</v>
      </c>
      <c r="M25" s="6">
        <v>9.6</v>
      </c>
      <c r="N25" s="6">
        <v>7.1</v>
      </c>
      <c r="O25" s="7">
        <f t="shared" si="0"/>
        <v>16.474999999999998</v>
      </c>
      <c r="Q25" s="6">
        <v>9</v>
      </c>
      <c r="R25" s="6">
        <v>10</v>
      </c>
      <c r="S25" s="6">
        <v>13</v>
      </c>
      <c r="T25" s="6">
        <v>16</v>
      </c>
      <c r="U25" s="6">
        <v>18</v>
      </c>
      <c r="V25" s="6">
        <v>24</v>
      </c>
      <c r="W25" s="6">
        <v>27</v>
      </c>
      <c r="X25" s="6">
        <v>27</v>
      </c>
      <c r="Y25" s="6">
        <v>24</v>
      </c>
      <c r="Z25" s="6">
        <v>18</v>
      </c>
      <c r="AA25" s="6">
        <v>13</v>
      </c>
      <c r="AB25" s="6">
        <v>9</v>
      </c>
      <c r="AC25" s="7">
        <f t="shared" si="1"/>
        <v>17.333333333333332</v>
      </c>
      <c r="AE25" s="5" t="s">
        <v>163</v>
      </c>
      <c r="AF25" s="2">
        <v>8</v>
      </c>
      <c r="AG25" s="2">
        <v>9</v>
      </c>
      <c r="AH25" s="2">
        <v>10</v>
      </c>
      <c r="AI25" s="2">
        <v>12</v>
      </c>
      <c r="AJ25" s="2">
        <v>14</v>
      </c>
      <c r="AK25" s="2">
        <v>17</v>
      </c>
      <c r="AL25" s="2">
        <v>20</v>
      </c>
      <c r="AM25" s="2">
        <v>19</v>
      </c>
      <c r="AN25" s="2">
        <v>17</v>
      </c>
      <c r="AO25" s="2">
        <v>14</v>
      </c>
      <c r="AP25" s="2">
        <v>11</v>
      </c>
      <c r="AQ25" s="2">
        <v>8</v>
      </c>
      <c r="AR25" s="2">
        <v>754</v>
      </c>
      <c r="AU25" s="5" t="s">
        <v>163</v>
      </c>
      <c r="AV25" s="1">
        <v>775</v>
      </c>
      <c r="AW25" s="1">
        <v>37.200000000000003</v>
      </c>
      <c r="AX25" s="1" t="s">
        <v>234</v>
      </c>
      <c r="AY25" s="1">
        <v>-13</v>
      </c>
      <c r="BE25" s="5" t="s">
        <v>163</v>
      </c>
      <c r="BF25" s="2">
        <v>149</v>
      </c>
      <c r="BG25" s="2">
        <v>129</v>
      </c>
      <c r="BH25" s="2">
        <v>244</v>
      </c>
      <c r="BI25" s="2">
        <v>248</v>
      </c>
      <c r="BJ25" s="2">
        <v>285</v>
      </c>
      <c r="BK25" s="2">
        <v>364</v>
      </c>
      <c r="BL25" s="2">
        <v>348</v>
      </c>
      <c r="BM25" s="2">
        <v>352</v>
      </c>
      <c r="BN25" s="2">
        <v>294</v>
      </c>
      <c r="BO25" s="2">
        <v>214</v>
      </c>
      <c r="BP25" s="2">
        <v>152</v>
      </c>
      <c r="BQ25" s="2">
        <v>202</v>
      </c>
      <c r="BR25" s="2"/>
    </row>
    <row r="26" spans="1:70" x14ac:dyDescent="0.25">
      <c r="A26" s="4">
        <v>22</v>
      </c>
      <c r="B26" s="5" t="s">
        <v>164</v>
      </c>
      <c r="C26" s="6">
        <v>6.5</v>
      </c>
      <c r="D26" s="6">
        <v>9.1999999999999993</v>
      </c>
      <c r="E26" s="6">
        <v>14</v>
      </c>
      <c r="F26" s="6">
        <v>17.899999999999999</v>
      </c>
      <c r="G26" s="6">
        <v>19.399999999999999</v>
      </c>
      <c r="H26" s="6">
        <v>22.7</v>
      </c>
      <c r="I26" s="6">
        <v>25</v>
      </c>
      <c r="J26" s="6">
        <v>23.2</v>
      </c>
      <c r="K26" s="6">
        <v>17.8</v>
      </c>
      <c r="L26" s="6">
        <v>11.7</v>
      </c>
      <c r="M26" s="6">
        <v>7.8</v>
      </c>
      <c r="N26" s="6">
        <v>5.6</v>
      </c>
      <c r="O26" s="7">
        <f t="shared" si="0"/>
        <v>15.066666666666668</v>
      </c>
      <c r="Q26" s="6">
        <v>7</v>
      </c>
      <c r="R26" s="6">
        <v>8</v>
      </c>
      <c r="S26" s="6">
        <v>12</v>
      </c>
      <c r="T26" s="6">
        <v>14</v>
      </c>
      <c r="U26" s="6">
        <v>18</v>
      </c>
      <c r="V26" s="6">
        <v>22</v>
      </c>
      <c r="W26" s="6">
        <v>26</v>
      </c>
      <c r="X26" s="6">
        <v>26</v>
      </c>
      <c r="Y26" s="6">
        <v>22</v>
      </c>
      <c r="Z26" s="6">
        <v>16</v>
      </c>
      <c r="AA26" s="6">
        <v>10</v>
      </c>
      <c r="AB26" s="6">
        <v>8</v>
      </c>
      <c r="AC26" s="7">
        <f t="shared" si="1"/>
        <v>15.75</v>
      </c>
      <c r="AE26" s="5" t="s">
        <v>164</v>
      </c>
      <c r="AF26" s="2">
        <v>7</v>
      </c>
      <c r="AG26" s="2">
        <v>8</v>
      </c>
      <c r="AH26" s="2">
        <v>9</v>
      </c>
      <c r="AI26" s="2">
        <v>11</v>
      </c>
      <c r="AJ26" s="2">
        <v>14</v>
      </c>
      <c r="AK26" s="2">
        <v>17</v>
      </c>
      <c r="AL26" s="2">
        <v>19</v>
      </c>
      <c r="AM26" s="2">
        <v>19</v>
      </c>
      <c r="AN26" s="2">
        <v>16</v>
      </c>
      <c r="AO26" s="2">
        <v>13</v>
      </c>
      <c r="AP26" s="2">
        <v>9</v>
      </c>
      <c r="AQ26" s="2">
        <v>7</v>
      </c>
      <c r="AR26" s="2">
        <v>708</v>
      </c>
      <c r="AU26" s="5" t="s">
        <v>164</v>
      </c>
      <c r="AV26" s="1">
        <v>685</v>
      </c>
      <c r="AW26" s="1">
        <v>40.6</v>
      </c>
      <c r="AX26" s="1" t="s">
        <v>244</v>
      </c>
      <c r="AY26" s="1">
        <v>-14</v>
      </c>
      <c r="BE26" s="5" t="s">
        <v>164</v>
      </c>
      <c r="BF26" s="2">
        <v>172</v>
      </c>
      <c r="BG26" s="2">
        <v>177</v>
      </c>
      <c r="BH26" s="2">
        <v>255</v>
      </c>
      <c r="BI26" s="2">
        <v>246</v>
      </c>
      <c r="BJ26" s="2">
        <v>292</v>
      </c>
      <c r="BK26" s="2">
        <v>357</v>
      </c>
      <c r="BL26" s="2">
        <v>366</v>
      </c>
      <c r="BM26" s="2">
        <v>357</v>
      </c>
      <c r="BN26" s="2">
        <v>313</v>
      </c>
      <c r="BO26" s="2">
        <v>219</v>
      </c>
      <c r="BP26" s="2">
        <v>173</v>
      </c>
      <c r="BQ26" s="2">
        <v>136</v>
      </c>
      <c r="BR26" s="2"/>
    </row>
    <row r="27" spans="1:70" x14ac:dyDescent="0.25">
      <c r="A27" s="4">
        <v>23</v>
      </c>
      <c r="B27" s="5" t="s">
        <v>165</v>
      </c>
      <c r="C27" s="6">
        <v>5.5</v>
      </c>
      <c r="D27" s="6">
        <v>7.7</v>
      </c>
      <c r="E27" s="6">
        <v>11.3</v>
      </c>
      <c r="F27" s="6">
        <v>11.7</v>
      </c>
      <c r="G27" s="6">
        <v>14.6</v>
      </c>
      <c r="H27" s="6">
        <v>16.2</v>
      </c>
      <c r="I27" s="6">
        <v>16.100000000000001</v>
      </c>
      <c r="J27" s="6">
        <v>13.6</v>
      </c>
      <c r="K27" s="6">
        <v>12.7</v>
      </c>
      <c r="L27" s="6">
        <v>10.3</v>
      </c>
      <c r="M27" s="6">
        <v>6.2</v>
      </c>
      <c r="N27" s="6">
        <v>5</v>
      </c>
      <c r="O27" s="7">
        <f t="shared" si="0"/>
        <v>10.908333333333331</v>
      </c>
      <c r="Q27" s="6">
        <v>10</v>
      </c>
      <c r="R27" s="6">
        <v>10</v>
      </c>
      <c r="S27" s="6">
        <v>13</v>
      </c>
      <c r="T27" s="6">
        <v>14</v>
      </c>
      <c r="U27" s="6">
        <v>16</v>
      </c>
      <c r="V27" s="6">
        <v>19</v>
      </c>
      <c r="W27" s="6">
        <v>21</v>
      </c>
      <c r="X27" s="6">
        <v>21</v>
      </c>
      <c r="Y27" s="6">
        <v>20</v>
      </c>
      <c r="Z27" s="6">
        <v>17</v>
      </c>
      <c r="AA27" s="6">
        <v>13</v>
      </c>
      <c r="AB27" s="6">
        <v>10</v>
      </c>
      <c r="AC27" s="7">
        <f t="shared" si="1"/>
        <v>15.333333333333334</v>
      </c>
      <c r="AE27" s="5" t="s">
        <v>165</v>
      </c>
      <c r="AF27" s="2">
        <v>9</v>
      </c>
      <c r="AG27" s="2">
        <v>9</v>
      </c>
      <c r="AH27" s="2">
        <v>10</v>
      </c>
      <c r="AI27" s="2">
        <v>11</v>
      </c>
      <c r="AJ27" s="2">
        <v>12</v>
      </c>
      <c r="AK27" s="2">
        <v>14</v>
      </c>
      <c r="AL27" s="2">
        <v>16</v>
      </c>
      <c r="AM27" s="2">
        <v>16</v>
      </c>
      <c r="AN27" s="2">
        <v>15</v>
      </c>
      <c r="AO27" s="2">
        <v>14</v>
      </c>
      <c r="AP27" s="2">
        <v>11</v>
      </c>
      <c r="AQ27" s="2">
        <v>9</v>
      </c>
      <c r="AR27" s="2">
        <v>5</v>
      </c>
      <c r="AU27" s="5" t="s">
        <v>165</v>
      </c>
      <c r="AV27" s="1">
        <v>181</v>
      </c>
      <c r="AW27" s="1">
        <v>43.3</v>
      </c>
      <c r="AX27" s="1" t="s">
        <v>245</v>
      </c>
      <c r="AY27" s="1">
        <v>-12</v>
      </c>
      <c r="BE27" s="5" t="s">
        <v>165</v>
      </c>
      <c r="BF27" s="2">
        <v>60</v>
      </c>
      <c r="BG27" s="2">
        <v>80</v>
      </c>
      <c r="BH27" s="2">
        <v>61</v>
      </c>
      <c r="BI27" s="2">
        <v>105</v>
      </c>
      <c r="BJ27" s="2">
        <v>177</v>
      </c>
      <c r="BK27" s="2">
        <v>167</v>
      </c>
      <c r="BL27" s="2">
        <v>141</v>
      </c>
      <c r="BM27" s="2">
        <v>216</v>
      </c>
      <c r="BN27" s="2">
        <v>173</v>
      </c>
      <c r="BO27" s="2">
        <v>152</v>
      </c>
      <c r="BP27" s="2">
        <v>95</v>
      </c>
      <c r="BQ27" s="2">
        <v>122</v>
      </c>
      <c r="BR27" s="2"/>
    </row>
    <row r="28" spans="1:70" x14ac:dyDescent="0.25">
      <c r="A28" s="4">
        <v>24</v>
      </c>
      <c r="B28" s="5" t="s">
        <v>166</v>
      </c>
      <c r="C28" s="6">
        <v>7.6</v>
      </c>
      <c r="D28" s="6">
        <v>11.3</v>
      </c>
      <c r="E28" s="6">
        <v>16</v>
      </c>
      <c r="F28" s="6">
        <v>19.5</v>
      </c>
      <c r="G28" s="6">
        <v>24.1</v>
      </c>
      <c r="H28" s="6">
        <v>25.6</v>
      </c>
      <c r="I28" s="6">
        <v>28.7</v>
      </c>
      <c r="J28" s="6">
        <v>25.6</v>
      </c>
      <c r="K28" s="6">
        <v>21.2</v>
      </c>
      <c r="L28" s="6">
        <v>14.5</v>
      </c>
      <c r="M28" s="6">
        <v>9.1999999999999993</v>
      </c>
      <c r="N28" s="6">
        <v>7.5</v>
      </c>
      <c r="O28" s="7">
        <f t="shared" si="0"/>
        <v>17.566666666666663</v>
      </c>
      <c r="Q28" s="6">
        <v>13</v>
      </c>
      <c r="R28" s="6">
        <v>14</v>
      </c>
      <c r="S28" s="6">
        <v>16</v>
      </c>
      <c r="T28" s="6">
        <v>20</v>
      </c>
      <c r="U28" s="6">
        <v>21</v>
      </c>
      <c r="V28" s="6">
        <v>24</v>
      </c>
      <c r="W28" s="6">
        <v>27</v>
      </c>
      <c r="X28" s="6">
        <v>27</v>
      </c>
      <c r="Y28" s="6">
        <v>25</v>
      </c>
      <c r="Z28" s="6">
        <v>21</v>
      </c>
      <c r="AA28" s="6">
        <v>17</v>
      </c>
      <c r="AB28" s="6">
        <v>14</v>
      </c>
      <c r="AC28" s="7">
        <f t="shared" si="1"/>
        <v>19.916666666666668</v>
      </c>
      <c r="AE28" s="5" t="s">
        <v>166</v>
      </c>
      <c r="AF28" s="2">
        <v>12</v>
      </c>
      <c r="AG28" s="2">
        <v>12</v>
      </c>
      <c r="AH28" s="2">
        <v>13</v>
      </c>
      <c r="AI28" s="2">
        <v>14</v>
      </c>
      <c r="AJ28" s="2">
        <v>16</v>
      </c>
      <c r="AK28" s="2">
        <v>18</v>
      </c>
      <c r="AL28" s="2">
        <v>20</v>
      </c>
      <c r="AM28" s="2">
        <v>20</v>
      </c>
      <c r="AN28" s="2">
        <v>19</v>
      </c>
      <c r="AO28" s="2">
        <v>17</v>
      </c>
      <c r="AP28" s="2">
        <v>14</v>
      </c>
      <c r="AQ28" s="2">
        <v>12</v>
      </c>
      <c r="AR28" s="2">
        <v>50</v>
      </c>
      <c r="AU28" s="5" t="s">
        <v>166</v>
      </c>
      <c r="AV28" s="1">
        <v>4</v>
      </c>
      <c r="AW28" s="1">
        <v>37.299999999999997</v>
      </c>
      <c r="AX28" s="1" t="s">
        <v>246</v>
      </c>
      <c r="AY28" s="1">
        <v>-6</v>
      </c>
      <c r="BE28" s="5" t="s">
        <v>166</v>
      </c>
      <c r="BF28" s="2">
        <v>149</v>
      </c>
      <c r="BG28" s="2">
        <v>129</v>
      </c>
      <c r="BH28" s="2">
        <v>244</v>
      </c>
      <c r="BI28" s="2">
        <v>248</v>
      </c>
      <c r="BJ28" s="2">
        <v>285</v>
      </c>
      <c r="BK28" s="2">
        <v>364</v>
      </c>
      <c r="BL28" s="2">
        <v>348</v>
      </c>
      <c r="BM28" s="2">
        <v>352</v>
      </c>
      <c r="BN28" s="2">
        <v>294</v>
      </c>
      <c r="BO28" s="2">
        <v>214</v>
      </c>
      <c r="BP28" s="2">
        <v>152</v>
      </c>
      <c r="BQ28" s="2">
        <v>202</v>
      </c>
      <c r="BR28" s="2"/>
    </row>
    <row r="29" spans="1:70" x14ac:dyDescent="0.25">
      <c r="A29" s="4">
        <v>25</v>
      </c>
      <c r="B29" s="5" t="s">
        <v>167</v>
      </c>
      <c r="C29" s="6">
        <v>6.1</v>
      </c>
      <c r="D29" s="6">
        <v>9.6</v>
      </c>
      <c r="E29" s="6">
        <v>14.3</v>
      </c>
      <c r="F29" s="6">
        <v>18.7</v>
      </c>
      <c r="G29" s="6">
        <v>20.3</v>
      </c>
      <c r="H29" s="6">
        <v>22.1</v>
      </c>
      <c r="I29" s="6">
        <v>23.1</v>
      </c>
      <c r="J29" s="6">
        <v>20.9</v>
      </c>
      <c r="K29" s="6">
        <v>16.899999999999999</v>
      </c>
      <c r="L29" s="6">
        <v>11.3</v>
      </c>
      <c r="M29" s="6">
        <v>7.2</v>
      </c>
      <c r="N29" s="6">
        <v>5.0999999999999996</v>
      </c>
      <c r="O29" s="7">
        <f t="shared" si="0"/>
        <v>14.633333333333333</v>
      </c>
      <c r="Q29" s="6">
        <v>7</v>
      </c>
      <c r="R29" s="6">
        <v>8</v>
      </c>
      <c r="S29" s="6">
        <v>12</v>
      </c>
      <c r="T29" s="6">
        <v>15</v>
      </c>
      <c r="U29" s="6">
        <v>18</v>
      </c>
      <c r="V29" s="6">
        <v>22</v>
      </c>
      <c r="W29" s="6">
        <v>25</v>
      </c>
      <c r="X29" s="6">
        <v>25</v>
      </c>
      <c r="Y29" s="6">
        <v>21</v>
      </c>
      <c r="Z29" s="6">
        <v>16</v>
      </c>
      <c r="AA29" s="6">
        <v>11</v>
      </c>
      <c r="AB29" s="6">
        <v>7</v>
      </c>
      <c r="AC29" s="7">
        <f t="shared" si="1"/>
        <v>15.583333333333334</v>
      </c>
      <c r="AE29" s="5" t="s">
        <v>167</v>
      </c>
      <c r="AF29" s="2">
        <v>7</v>
      </c>
      <c r="AG29" s="2">
        <v>8</v>
      </c>
      <c r="AH29" s="2">
        <v>10</v>
      </c>
      <c r="AI29" s="2">
        <v>11</v>
      </c>
      <c r="AJ29" s="2">
        <v>14</v>
      </c>
      <c r="AK29" s="2">
        <v>16</v>
      </c>
      <c r="AL29" s="2">
        <v>19</v>
      </c>
      <c r="AM29" s="2">
        <v>18</v>
      </c>
      <c r="AN29" s="2">
        <v>17</v>
      </c>
      <c r="AO29" s="2">
        <v>13</v>
      </c>
      <c r="AP29" s="2">
        <v>9</v>
      </c>
      <c r="AQ29" s="2">
        <v>7</v>
      </c>
      <c r="AR29" s="2">
        <v>432</v>
      </c>
      <c r="AU29" s="5" t="s">
        <v>167</v>
      </c>
      <c r="AV29" s="1">
        <v>488</v>
      </c>
      <c r="AW29" s="1">
        <v>42.1</v>
      </c>
      <c r="AX29" s="1" t="s">
        <v>247</v>
      </c>
      <c r="AY29" s="1">
        <v>-14</v>
      </c>
      <c r="BE29" s="5" t="s">
        <v>167</v>
      </c>
      <c r="BF29" s="2">
        <v>102</v>
      </c>
      <c r="BG29" s="2">
        <v>141</v>
      </c>
      <c r="BH29" s="2">
        <v>198</v>
      </c>
      <c r="BI29" s="2">
        <v>213</v>
      </c>
      <c r="BJ29" s="2">
        <v>262</v>
      </c>
      <c r="BK29" s="2">
        <v>359</v>
      </c>
      <c r="BL29" s="2">
        <v>381</v>
      </c>
      <c r="BM29" s="2">
        <v>381</v>
      </c>
      <c r="BN29" s="2">
        <v>295</v>
      </c>
      <c r="BO29" s="2">
        <v>208</v>
      </c>
      <c r="BP29" s="2">
        <v>121</v>
      </c>
      <c r="BQ29" s="2">
        <v>133</v>
      </c>
      <c r="BR29" s="2"/>
    </row>
    <row r="30" spans="1:70" x14ac:dyDescent="0.25">
      <c r="A30" s="4">
        <v>26</v>
      </c>
      <c r="B30" s="5" t="s">
        <v>168</v>
      </c>
      <c r="C30" s="6">
        <v>6.7</v>
      </c>
      <c r="D30" s="6">
        <v>10.1</v>
      </c>
      <c r="E30" s="6">
        <v>14.4</v>
      </c>
      <c r="F30" s="6">
        <v>18</v>
      </c>
      <c r="G30" s="6">
        <v>20.3</v>
      </c>
      <c r="H30" s="6">
        <v>24.4</v>
      </c>
      <c r="I30" s="6">
        <v>26.7</v>
      </c>
      <c r="J30" s="6">
        <v>24.1</v>
      </c>
      <c r="K30" s="6">
        <v>19.2</v>
      </c>
      <c r="L30" s="6">
        <v>11.9</v>
      </c>
      <c r="M30" s="6">
        <v>8.1</v>
      </c>
      <c r="N30" s="6">
        <v>6.5</v>
      </c>
      <c r="O30" s="7">
        <f t="shared" si="0"/>
        <v>15.866666666666667</v>
      </c>
      <c r="Q30" s="6">
        <v>11</v>
      </c>
      <c r="R30" s="6">
        <v>11</v>
      </c>
      <c r="S30" s="6">
        <v>14</v>
      </c>
      <c r="T30" s="6">
        <v>17</v>
      </c>
      <c r="U30" s="6">
        <v>21</v>
      </c>
      <c r="V30" s="6">
        <v>26</v>
      </c>
      <c r="W30" s="6">
        <v>30</v>
      </c>
      <c r="X30" s="6">
        <v>29</v>
      </c>
      <c r="Y30" s="6">
        <v>25</v>
      </c>
      <c r="Z30" s="6">
        <v>19</v>
      </c>
      <c r="AA30" s="6">
        <v>15</v>
      </c>
      <c r="AB30" s="6">
        <v>10</v>
      </c>
      <c r="AC30" s="7">
        <f t="shared" si="1"/>
        <v>19</v>
      </c>
      <c r="AE30" s="5" t="s">
        <v>168</v>
      </c>
      <c r="AF30" s="2">
        <v>9</v>
      </c>
      <c r="AG30" s="2">
        <v>10</v>
      </c>
      <c r="AH30" s="2">
        <v>11</v>
      </c>
      <c r="AI30" s="2">
        <v>13</v>
      </c>
      <c r="AJ30" s="2">
        <v>16</v>
      </c>
      <c r="AK30" s="2">
        <v>19</v>
      </c>
      <c r="AL30" s="2">
        <v>21</v>
      </c>
      <c r="AM30" s="2">
        <v>21</v>
      </c>
      <c r="AN30" s="2">
        <v>19</v>
      </c>
      <c r="AO30" s="2">
        <v>15</v>
      </c>
      <c r="AP30" s="2">
        <v>12</v>
      </c>
      <c r="AQ30" s="2">
        <v>9</v>
      </c>
      <c r="AR30" s="2">
        <v>436</v>
      </c>
      <c r="AU30" s="5" t="s">
        <v>168</v>
      </c>
      <c r="AV30" s="1">
        <v>586</v>
      </c>
      <c r="AW30" s="1">
        <v>37.799999999999997</v>
      </c>
      <c r="AX30" s="1" t="s">
        <v>237</v>
      </c>
      <c r="AY30" s="1">
        <v>-8</v>
      </c>
      <c r="BE30" s="5" t="s">
        <v>168</v>
      </c>
      <c r="BF30" s="2">
        <v>149</v>
      </c>
      <c r="BG30" s="2">
        <v>129</v>
      </c>
      <c r="BH30" s="2">
        <v>244</v>
      </c>
      <c r="BI30" s="2">
        <v>248</v>
      </c>
      <c r="BJ30" s="2">
        <v>285</v>
      </c>
      <c r="BK30" s="2">
        <v>364</v>
      </c>
      <c r="BL30" s="2">
        <v>348</v>
      </c>
      <c r="BM30" s="2">
        <v>352</v>
      </c>
      <c r="BN30" s="2">
        <v>294</v>
      </c>
      <c r="BO30" s="2">
        <v>214</v>
      </c>
      <c r="BP30" s="2">
        <v>152</v>
      </c>
      <c r="BQ30" s="2">
        <v>202</v>
      </c>
      <c r="BR30" s="2"/>
    </row>
    <row r="31" spans="1:70" x14ac:dyDescent="0.25">
      <c r="A31" s="4">
        <v>27</v>
      </c>
      <c r="B31" s="5" t="s">
        <v>169</v>
      </c>
      <c r="C31" s="6">
        <v>5.8</v>
      </c>
      <c r="D31" s="6">
        <v>8.6999999999999993</v>
      </c>
      <c r="E31" s="6">
        <v>13.8</v>
      </c>
      <c r="F31" s="6">
        <v>17.2</v>
      </c>
      <c r="G31" s="6">
        <v>19.5</v>
      </c>
      <c r="H31" s="6">
        <v>22.1</v>
      </c>
      <c r="I31" s="6">
        <v>24.2</v>
      </c>
      <c r="J31" s="6">
        <v>20.9</v>
      </c>
      <c r="K31" s="6">
        <v>17.2</v>
      </c>
      <c r="L31" s="6">
        <v>10.4</v>
      </c>
      <c r="M31" s="6">
        <v>7</v>
      </c>
      <c r="N31" s="6">
        <v>4.8</v>
      </c>
      <c r="O31" s="7">
        <f t="shared" si="0"/>
        <v>14.299999999999999</v>
      </c>
      <c r="Q31" s="6">
        <v>5</v>
      </c>
      <c r="R31" s="6">
        <v>6</v>
      </c>
      <c r="S31" s="6">
        <v>10</v>
      </c>
      <c r="T31" s="6">
        <v>12</v>
      </c>
      <c r="U31" s="6">
        <v>15</v>
      </c>
      <c r="V31" s="6">
        <v>19</v>
      </c>
      <c r="W31" s="6">
        <v>22</v>
      </c>
      <c r="X31" s="6">
        <v>22</v>
      </c>
      <c r="Y31" s="6">
        <v>19</v>
      </c>
      <c r="Z31" s="6">
        <v>14</v>
      </c>
      <c r="AA31" s="6">
        <v>9</v>
      </c>
      <c r="AB31" s="6">
        <v>6</v>
      </c>
      <c r="AC31" s="7">
        <f t="shared" si="1"/>
        <v>13.25</v>
      </c>
      <c r="AE31" s="5" t="s">
        <v>169</v>
      </c>
      <c r="AF31" s="2">
        <v>6</v>
      </c>
      <c r="AG31" s="2">
        <v>6</v>
      </c>
      <c r="AH31" s="2">
        <v>8</v>
      </c>
      <c r="AI31" s="2">
        <v>9</v>
      </c>
      <c r="AJ31" s="2">
        <v>12</v>
      </c>
      <c r="AK31" s="2">
        <v>14</v>
      </c>
      <c r="AL31" s="2">
        <v>16</v>
      </c>
      <c r="AM31" s="2">
        <v>16</v>
      </c>
      <c r="AN31" s="2">
        <v>15</v>
      </c>
      <c r="AO31" s="2">
        <v>11</v>
      </c>
      <c r="AP31" s="2">
        <v>8</v>
      </c>
      <c r="AQ31" s="2">
        <v>6</v>
      </c>
      <c r="AR31" s="2">
        <v>346</v>
      </c>
      <c r="AU31" s="5" t="s">
        <v>169</v>
      </c>
      <c r="AV31" s="1">
        <v>908</v>
      </c>
      <c r="AW31" s="1">
        <v>42.6</v>
      </c>
      <c r="AX31" s="1" t="s">
        <v>248</v>
      </c>
      <c r="AY31" s="1">
        <v>-18</v>
      </c>
      <c r="BE31" s="5" t="s">
        <v>169</v>
      </c>
      <c r="BF31" s="2">
        <v>102</v>
      </c>
      <c r="BG31" s="2">
        <v>141</v>
      </c>
      <c r="BH31" s="2">
        <v>198</v>
      </c>
      <c r="BI31" s="2">
        <v>213</v>
      </c>
      <c r="BJ31" s="2">
        <v>262</v>
      </c>
      <c r="BK31" s="2">
        <v>359</v>
      </c>
      <c r="BL31" s="2">
        <v>381</v>
      </c>
      <c r="BM31" s="2">
        <v>381</v>
      </c>
      <c r="BN31" s="2">
        <v>295</v>
      </c>
      <c r="BO31" s="2">
        <v>208</v>
      </c>
      <c r="BP31" s="2">
        <v>121</v>
      </c>
      <c r="BQ31" s="2">
        <v>133</v>
      </c>
      <c r="BR31" s="2"/>
    </row>
    <row r="32" spans="1:70" x14ac:dyDescent="0.25">
      <c r="A32" s="4">
        <v>28</v>
      </c>
      <c r="B32" s="5" t="s">
        <v>170</v>
      </c>
      <c r="C32" s="6">
        <v>6</v>
      </c>
      <c r="D32" s="6">
        <v>9.9</v>
      </c>
      <c r="E32" s="6">
        <v>18</v>
      </c>
      <c r="F32" s="6">
        <v>18.8</v>
      </c>
      <c r="G32" s="6">
        <v>20.9</v>
      </c>
      <c r="H32" s="6">
        <v>22.6</v>
      </c>
      <c r="I32" s="6">
        <v>23.8</v>
      </c>
      <c r="J32" s="6">
        <v>21.3</v>
      </c>
      <c r="K32" s="6">
        <v>16.8</v>
      </c>
      <c r="L32" s="6">
        <v>12.1</v>
      </c>
      <c r="M32" s="6">
        <v>7.2</v>
      </c>
      <c r="N32" s="6">
        <v>4.8</v>
      </c>
      <c r="O32" s="7">
        <f t="shared" si="0"/>
        <v>15.183333333333332</v>
      </c>
      <c r="Q32" s="6">
        <v>7</v>
      </c>
      <c r="R32" s="6">
        <v>10</v>
      </c>
      <c r="S32" s="6">
        <v>14</v>
      </c>
      <c r="T32" s="6">
        <v>15</v>
      </c>
      <c r="U32" s="6">
        <v>21</v>
      </c>
      <c r="V32" s="6">
        <v>24</v>
      </c>
      <c r="W32" s="6">
        <v>27</v>
      </c>
      <c r="X32" s="6">
        <v>27</v>
      </c>
      <c r="Y32" s="6">
        <v>23</v>
      </c>
      <c r="Z32" s="6">
        <v>18</v>
      </c>
      <c r="AA32" s="6">
        <v>11</v>
      </c>
      <c r="AB32" s="6">
        <v>8</v>
      </c>
      <c r="AC32" s="7">
        <f t="shared" si="1"/>
        <v>17.083333333333332</v>
      </c>
      <c r="AE32" s="5" t="s">
        <v>170</v>
      </c>
      <c r="AF32" s="2">
        <v>7</v>
      </c>
      <c r="AG32" s="2">
        <v>9</v>
      </c>
      <c r="AH32" s="2">
        <v>10</v>
      </c>
      <c r="AI32" s="2">
        <v>12</v>
      </c>
      <c r="AJ32" s="2">
        <v>15</v>
      </c>
      <c r="AK32" s="2">
        <v>17</v>
      </c>
      <c r="AL32" s="2">
        <v>20</v>
      </c>
      <c r="AM32" s="2">
        <v>19</v>
      </c>
      <c r="AN32" s="2">
        <v>17</v>
      </c>
      <c r="AO32" s="2">
        <v>14</v>
      </c>
      <c r="AP32" s="2">
        <v>10</v>
      </c>
      <c r="AQ32" s="2">
        <v>7</v>
      </c>
      <c r="AR32" s="2">
        <v>131</v>
      </c>
      <c r="AU32" s="5" t="s">
        <v>170</v>
      </c>
      <c r="AV32" s="1">
        <v>323</v>
      </c>
      <c r="AW32" s="1">
        <v>41.7</v>
      </c>
      <c r="AX32" s="1" t="s">
        <v>249</v>
      </c>
      <c r="AY32" s="1">
        <v>-11</v>
      </c>
      <c r="BE32" s="5" t="s">
        <v>170</v>
      </c>
      <c r="BF32" s="2">
        <v>102</v>
      </c>
      <c r="BG32" s="2">
        <v>141</v>
      </c>
      <c r="BH32" s="2">
        <v>198</v>
      </c>
      <c r="BI32" s="2">
        <v>213</v>
      </c>
      <c r="BJ32" s="2">
        <v>262</v>
      </c>
      <c r="BK32" s="2">
        <v>359</v>
      </c>
      <c r="BL32" s="2">
        <v>381</v>
      </c>
      <c r="BM32" s="2">
        <v>381</v>
      </c>
      <c r="BN32" s="2">
        <v>295</v>
      </c>
      <c r="BO32" s="2">
        <v>208</v>
      </c>
      <c r="BP32" s="2">
        <v>121</v>
      </c>
      <c r="BQ32" s="2">
        <v>133</v>
      </c>
      <c r="BR32" s="2"/>
    </row>
    <row r="33" spans="1:70" x14ac:dyDescent="0.25">
      <c r="A33" s="4">
        <v>29</v>
      </c>
      <c r="B33" s="5" t="s">
        <v>171</v>
      </c>
      <c r="C33" s="6">
        <v>5.0999999999999996</v>
      </c>
      <c r="D33" s="6">
        <v>7.6</v>
      </c>
      <c r="E33" s="6">
        <v>11.7</v>
      </c>
      <c r="F33" s="6">
        <v>15.2</v>
      </c>
      <c r="G33" s="6">
        <v>17.100000000000001</v>
      </c>
      <c r="H33" s="6">
        <v>19.5</v>
      </c>
      <c r="I33" s="6">
        <v>20.2</v>
      </c>
      <c r="J33" s="6">
        <v>18.399999999999999</v>
      </c>
      <c r="K33" s="6">
        <v>15</v>
      </c>
      <c r="L33" s="6">
        <v>9.9</v>
      </c>
      <c r="M33" s="6">
        <v>6.2</v>
      </c>
      <c r="N33" s="6">
        <v>4.5</v>
      </c>
      <c r="O33" s="7">
        <f t="shared" si="0"/>
        <v>12.533333333333331</v>
      </c>
      <c r="Q33" s="6">
        <v>8</v>
      </c>
      <c r="R33" s="6">
        <v>9</v>
      </c>
      <c r="S33" s="6">
        <v>11</v>
      </c>
      <c r="T33" s="6">
        <v>13</v>
      </c>
      <c r="U33" s="6">
        <v>15</v>
      </c>
      <c r="V33" s="6">
        <v>18</v>
      </c>
      <c r="W33" s="6">
        <v>20</v>
      </c>
      <c r="X33" s="6">
        <v>21</v>
      </c>
      <c r="Y33" s="6">
        <v>19</v>
      </c>
      <c r="Z33" s="6">
        <v>15</v>
      </c>
      <c r="AA33" s="6">
        <v>11</v>
      </c>
      <c r="AB33" s="6">
        <v>8</v>
      </c>
      <c r="AC33" s="7">
        <f t="shared" si="1"/>
        <v>14</v>
      </c>
      <c r="AE33" s="5" t="s">
        <v>171</v>
      </c>
      <c r="AF33" s="2">
        <v>7</v>
      </c>
      <c r="AG33" s="2">
        <v>8</v>
      </c>
      <c r="AH33" s="2">
        <v>9</v>
      </c>
      <c r="AI33" s="2">
        <v>10</v>
      </c>
      <c r="AJ33" s="2">
        <v>11</v>
      </c>
      <c r="AK33" s="2">
        <v>13</v>
      </c>
      <c r="AL33" s="2">
        <v>15</v>
      </c>
      <c r="AM33" s="2">
        <v>15</v>
      </c>
      <c r="AN33" s="2">
        <v>14</v>
      </c>
      <c r="AO33" s="2">
        <v>12</v>
      </c>
      <c r="AP33" s="2">
        <v>9</v>
      </c>
      <c r="AQ33" s="2">
        <v>8</v>
      </c>
      <c r="AR33" s="2">
        <v>412</v>
      </c>
      <c r="AU33" s="5" t="s">
        <v>171</v>
      </c>
      <c r="AV33" s="1">
        <v>465</v>
      </c>
      <c r="AW33" s="1">
        <v>43</v>
      </c>
      <c r="AX33" s="1" t="s">
        <v>250</v>
      </c>
      <c r="AY33" s="1">
        <v>-8</v>
      </c>
      <c r="BE33" s="5" t="s">
        <v>171</v>
      </c>
      <c r="BF33" s="2">
        <v>61</v>
      </c>
      <c r="BG33" s="2">
        <v>78</v>
      </c>
      <c r="BH33" s="2">
        <v>153</v>
      </c>
      <c r="BI33" s="2">
        <v>162</v>
      </c>
      <c r="BJ33" s="2">
        <v>190</v>
      </c>
      <c r="BK33" s="2">
        <v>224</v>
      </c>
      <c r="BL33" s="2">
        <v>252</v>
      </c>
      <c r="BM33" s="2">
        <v>293</v>
      </c>
      <c r="BN33" s="2">
        <v>207</v>
      </c>
      <c r="BO33" s="2">
        <v>166</v>
      </c>
      <c r="BP33" s="2">
        <v>88</v>
      </c>
      <c r="BQ33" s="2">
        <v>99</v>
      </c>
      <c r="BR33" s="2"/>
    </row>
    <row r="34" spans="1:70" x14ac:dyDescent="0.25">
      <c r="A34" s="4">
        <v>30</v>
      </c>
      <c r="B34" s="5" t="s">
        <v>172</v>
      </c>
      <c r="C34" s="6">
        <v>6.7</v>
      </c>
      <c r="D34" s="6">
        <v>10.6</v>
      </c>
      <c r="E34" s="6">
        <v>13.6</v>
      </c>
      <c r="F34" s="6">
        <v>18.8</v>
      </c>
      <c r="G34" s="6">
        <v>20.9</v>
      </c>
      <c r="H34" s="6">
        <v>23.5</v>
      </c>
      <c r="I34" s="6">
        <v>26</v>
      </c>
      <c r="J34" s="6">
        <v>23.1</v>
      </c>
      <c r="K34" s="6">
        <v>16.899999999999999</v>
      </c>
      <c r="L34" s="6">
        <v>11.4</v>
      </c>
      <c r="M34" s="6">
        <v>7.5</v>
      </c>
      <c r="N34" s="6">
        <v>5.9</v>
      </c>
      <c r="O34" s="7">
        <f t="shared" si="0"/>
        <v>15.408333333333333</v>
      </c>
      <c r="Q34" s="6">
        <v>6</v>
      </c>
      <c r="R34" s="6">
        <v>8</v>
      </c>
      <c r="S34" s="6">
        <v>11</v>
      </c>
      <c r="T34" s="6">
        <v>13</v>
      </c>
      <c r="U34" s="6">
        <v>18</v>
      </c>
      <c r="V34" s="6">
        <v>23</v>
      </c>
      <c r="W34" s="6">
        <v>28</v>
      </c>
      <c r="X34" s="6">
        <v>26</v>
      </c>
      <c r="Y34" s="6">
        <v>21</v>
      </c>
      <c r="Z34" s="6">
        <v>15</v>
      </c>
      <c r="AA34" s="6">
        <v>11</v>
      </c>
      <c r="AB34" s="6">
        <v>7</v>
      </c>
      <c r="AC34" s="7">
        <f t="shared" si="1"/>
        <v>15.583333333333334</v>
      </c>
      <c r="AE34" s="5" t="s">
        <v>172</v>
      </c>
      <c r="AF34" s="2">
        <v>8</v>
      </c>
      <c r="AG34" s="2">
        <v>8</v>
      </c>
      <c r="AH34" s="2">
        <v>10</v>
      </c>
      <c r="AI34" s="2">
        <v>12</v>
      </c>
      <c r="AJ34" s="2">
        <v>14</v>
      </c>
      <c r="AK34" s="2">
        <v>17</v>
      </c>
      <c r="AL34" s="2">
        <v>20</v>
      </c>
      <c r="AM34" s="2">
        <v>19</v>
      </c>
      <c r="AN34" s="2">
        <v>17</v>
      </c>
      <c r="AO34" s="2">
        <v>13</v>
      </c>
      <c r="AP34" s="2">
        <v>10</v>
      </c>
      <c r="AQ34" s="2">
        <v>8</v>
      </c>
      <c r="AR34" s="2">
        <v>589</v>
      </c>
      <c r="AU34" s="5" t="s">
        <v>172</v>
      </c>
      <c r="AV34" s="1">
        <v>667</v>
      </c>
      <c r="AW34" s="1">
        <v>40.4</v>
      </c>
      <c r="AX34" s="1" t="s">
        <v>234</v>
      </c>
      <c r="AY34" s="1">
        <v>-16</v>
      </c>
      <c r="BE34" s="5" t="s">
        <v>172</v>
      </c>
      <c r="BF34" s="2">
        <v>102</v>
      </c>
      <c r="BG34" s="2">
        <v>141</v>
      </c>
      <c r="BH34" s="2">
        <v>198</v>
      </c>
      <c r="BI34" s="2">
        <v>213</v>
      </c>
      <c r="BJ34" s="2">
        <v>262</v>
      </c>
      <c r="BK34" s="2">
        <v>359</v>
      </c>
      <c r="BL34" s="2">
        <v>381</v>
      </c>
      <c r="BM34" s="2">
        <v>381</v>
      </c>
      <c r="BN34" s="2">
        <v>295</v>
      </c>
      <c r="BO34" s="2">
        <v>208</v>
      </c>
      <c r="BP34" s="2">
        <v>121</v>
      </c>
      <c r="BQ34" s="2">
        <v>133</v>
      </c>
      <c r="BR34" s="2"/>
    </row>
    <row r="35" spans="1:70" x14ac:dyDescent="0.25">
      <c r="A35" s="4">
        <v>31</v>
      </c>
      <c r="B35" s="5" t="s">
        <v>173</v>
      </c>
      <c r="C35" s="6">
        <v>8.3000000000000007</v>
      </c>
      <c r="D35" s="6">
        <v>12</v>
      </c>
      <c r="E35" s="6">
        <v>15.5</v>
      </c>
      <c r="F35" s="6">
        <v>18.5</v>
      </c>
      <c r="G35" s="6">
        <v>23.2</v>
      </c>
      <c r="H35" s="6">
        <v>24.5</v>
      </c>
      <c r="I35" s="6">
        <v>26.5</v>
      </c>
      <c r="J35" s="6">
        <v>23.2</v>
      </c>
      <c r="K35" s="6">
        <v>19</v>
      </c>
      <c r="L35" s="6">
        <v>13.6</v>
      </c>
      <c r="M35" s="6">
        <v>9.3000000000000007</v>
      </c>
      <c r="N35" s="6">
        <v>8</v>
      </c>
      <c r="O35" s="7">
        <f t="shared" si="0"/>
        <v>16.8</v>
      </c>
      <c r="Q35" s="6">
        <v>15</v>
      </c>
      <c r="R35" s="6">
        <v>15</v>
      </c>
      <c r="S35" s="6">
        <v>17</v>
      </c>
      <c r="T35" s="6">
        <v>19</v>
      </c>
      <c r="U35" s="6">
        <v>21</v>
      </c>
      <c r="V35" s="6">
        <v>25</v>
      </c>
      <c r="W35" s="6">
        <v>27</v>
      </c>
      <c r="X35" s="6">
        <v>28</v>
      </c>
      <c r="Y35" s="6">
        <v>26</v>
      </c>
      <c r="Z35" s="6">
        <v>22</v>
      </c>
      <c r="AA35" s="6">
        <v>18</v>
      </c>
      <c r="AB35" s="6">
        <v>15</v>
      </c>
      <c r="AC35" s="7">
        <f t="shared" si="1"/>
        <v>20.666666666666668</v>
      </c>
      <c r="AE35" s="5" t="s">
        <v>173</v>
      </c>
      <c r="AF35" s="2">
        <v>12</v>
      </c>
      <c r="AG35" s="2">
        <v>12</v>
      </c>
      <c r="AH35" s="2">
        <v>13</v>
      </c>
      <c r="AI35" s="2">
        <v>14</v>
      </c>
      <c r="AJ35" s="2">
        <v>16</v>
      </c>
      <c r="AK35" s="2">
        <v>18</v>
      </c>
      <c r="AL35" s="2">
        <v>20</v>
      </c>
      <c r="AM35" s="2">
        <v>20</v>
      </c>
      <c r="AN35" s="2">
        <v>19</v>
      </c>
      <c r="AO35" s="2">
        <v>16</v>
      </c>
      <c r="AP35" s="2">
        <v>14</v>
      </c>
      <c r="AQ35" s="2">
        <v>12</v>
      </c>
      <c r="AR35" s="2">
        <v>0</v>
      </c>
      <c r="AU35" s="5" t="s">
        <v>173</v>
      </c>
      <c r="AV35" s="1">
        <v>40</v>
      </c>
      <c r="AW35" s="1">
        <v>36.700000000000003</v>
      </c>
      <c r="AX35" s="1" t="s">
        <v>251</v>
      </c>
      <c r="AY35" s="1">
        <v>-4</v>
      </c>
      <c r="BE35" s="5" t="s">
        <v>173</v>
      </c>
      <c r="BF35" s="2">
        <v>156</v>
      </c>
      <c r="BG35" s="2">
        <v>161</v>
      </c>
      <c r="BH35" s="2">
        <v>257</v>
      </c>
      <c r="BI35" s="2">
        <v>223</v>
      </c>
      <c r="BJ35" s="2">
        <v>266</v>
      </c>
      <c r="BK35" s="2">
        <v>366</v>
      </c>
      <c r="BL35" s="2">
        <v>355</v>
      </c>
      <c r="BM35" s="2">
        <v>347</v>
      </c>
      <c r="BN35" s="2">
        <v>323</v>
      </c>
      <c r="BO35" s="2">
        <v>253</v>
      </c>
      <c r="BP35" s="2">
        <v>187</v>
      </c>
      <c r="BQ35" s="2">
        <v>152</v>
      </c>
      <c r="BR35" s="2"/>
    </row>
    <row r="36" spans="1:70" x14ac:dyDescent="0.25">
      <c r="A36" s="4">
        <v>32</v>
      </c>
      <c r="B36" s="5" t="s">
        <v>174</v>
      </c>
      <c r="C36" s="6">
        <v>9.4</v>
      </c>
      <c r="D36" s="6">
        <v>12.6</v>
      </c>
      <c r="E36" s="6">
        <v>17.2</v>
      </c>
      <c r="F36" s="6">
        <v>20.3</v>
      </c>
      <c r="G36" s="6">
        <v>23</v>
      </c>
      <c r="H36" s="6">
        <v>24.8</v>
      </c>
      <c r="I36" s="6">
        <v>24.8</v>
      </c>
      <c r="J36" s="6">
        <v>22.6</v>
      </c>
      <c r="K36" s="6">
        <v>18.3</v>
      </c>
      <c r="L36" s="6">
        <v>14.2</v>
      </c>
      <c r="M36" s="6">
        <v>10.9</v>
      </c>
      <c r="N36" s="6">
        <v>8.6999999999999993</v>
      </c>
      <c r="O36" s="7">
        <f t="shared" si="0"/>
        <v>17.233333333333331</v>
      </c>
      <c r="Q36" s="6">
        <v>15</v>
      </c>
      <c r="R36" s="6">
        <v>15</v>
      </c>
      <c r="S36" s="6">
        <v>16</v>
      </c>
      <c r="T36" s="6">
        <v>18</v>
      </c>
      <c r="U36" s="6">
        <v>21</v>
      </c>
      <c r="V36" s="6">
        <v>25</v>
      </c>
      <c r="W36" s="6">
        <v>27</v>
      </c>
      <c r="X36" s="6">
        <v>28</v>
      </c>
      <c r="Y36" s="6">
        <v>26</v>
      </c>
      <c r="Z36" s="6">
        <v>22</v>
      </c>
      <c r="AA36" s="6">
        <v>18</v>
      </c>
      <c r="AB36" s="6">
        <v>16</v>
      </c>
      <c r="AC36" s="7">
        <f t="shared" si="1"/>
        <v>20.583333333333332</v>
      </c>
      <c r="AE36" s="5" t="s">
        <v>174</v>
      </c>
      <c r="AF36" s="2">
        <v>12</v>
      </c>
      <c r="AG36" s="2">
        <v>13</v>
      </c>
      <c r="AH36" s="2">
        <v>13</v>
      </c>
      <c r="AI36" s="2">
        <v>14</v>
      </c>
      <c r="AJ36" s="2">
        <v>16</v>
      </c>
      <c r="AK36" s="2">
        <v>18</v>
      </c>
      <c r="AL36" s="2">
        <v>20</v>
      </c>
      <c r="AM36" s="2">
        <v>20</v>
      </c>
      <c r="AN36" s="2">
        <v>19</v>
      </c>
      <c r="AO36" s="2">
        <v>17</v>
      </c>
      <c r="AP36" s="2">
        <v>14</v>
      </c>
      <c r="AQ36" s="2">
        <v>13</v>
      </c>
      <c r="AR36" s="2">
        <v>130</v>
      </c>
      <c r="AU36" s="5" t="s">
        <v>174</v>
      </c>
      <c r="AV36" s="1">
        <v>47</v>
      </c>
      <c r="AW36" s="1">
        <v>35.299999999999997</v>
      </c>
      <c r="AX36" s="1" t="s">
        <v>252</v>
      </c>
      <c r="AY36" s="1">
        <v>-1</v>
      </c>
      <c r="BE36" s="5" t="s">
        <v>174</v>
      </c>
      <c r="BF36" s="2">
        <v>178</v>
      </c>
      <c r="BG36" s="2">
        <v>195</v>
      </c>
      <c r="BH36" s="2">
        <v>268</v>
      </c>
      <c r="BI36" s="2">
        <v>248</v>
      </c>
      <c r="BJ36" s="2">
        <v>262</v>
      </c>
      <c r="BK36" s="2">
        <v>300</v>
      </c>
      <c r="BL36" s="2">
        <v>263</v>
      </c>
      <c r="BM36" s="2">
        <v>280</v>
      </c>
      <c r="BN36" s="2">
        <v>235</v>
      </c>
      <c r="BO36" s="2">
        <v>197</v>
      </c>
      <c r="BP36" s="2">
        <v>182</v>
      </c>
      <c r="BQ36" s="2">
        <v>150</v>
      </c>
      <c r="BR36" s="2"/>
    </row>
    <row r="37" spans="1:70" x14ac:dyDescent="0.25">
      <c r="A37" s="4">
        <v>33</v>
      </c>
      <c r="B37" s="5" t="s">
        <v>175</v>
      </c>
      <c r="C37" s="6">
        <v>10.1</v>
      </c>
      <c r="D37" s="6">
        <v>14.8</v>
      </c>
      <c r="E37" s="6">
        <v>16.600000000000001</v>
      </c>
      <c r="F37" s="6">
        <v>20.399999999999999</v>
      </c>
      <c r="G37" s="6">
        <v>24.2</v>
      </c>
      <c r="H37" s="6">
        <v>25.6</v>
      </c>
      <c r="I37" s="6">
        <v>27.7</v>
      </c>
      <c r="J37" s="6">
        <v>23.5</v>
      </c>
      <c r="K37" s="6">
        <v>18.600000000000001</v>
      </c>
      <c r="L37" s="6">
        <v>13.9</v>
      </c>
      <c r="M37" s="6">
        <v>9.8000000000000007</v>
      </c>
      <c r="N37" s="6">
        <v>8.1</v>
      </c>
      <c r="O37" s="7">
        <f t="shared" si="0"/>
        <v>17.774999999999999</v>
      </c>
      <c r="Q37" s="6">
        <v>12</v>
      </c>
      <c r="R37" s="6">
        <v>12</v>
      </c>
      <c r="S37" s="6">
        <v>15</v>
      </c>
      <c r="T37" s="6">
        <v>17</v>
      </c>
      <c r="U37" s="6">
        <v>21</v>
      </c>
      <c r="V37" s="6">
        <v>25</v>
      </c>
      <c r="W37" s="6">
        <v>28</v>
      </c>
      <c r="X37" s="6">
        <v>28</v>
      </c>
      <c r="Y37" s="6">
        <v>25</v>
      </c>
      <c r="Z37" s="6">
        <v>20</v>
      </c>
      <c r="AA37" s="6">
        <v>16</v>
      </c>
      <c r="AB37" s="6">
        <v>12</v>
      </c>
      <c r="AC37" s="7">
        <f t="shared" si="1"/>
        <v>19.25</v>
      </c>
      <c r="AE37" s="5" t="s">
        <v>175</v>
      </c>
      <c r="AF37" s="2">
        <v>11</v>
      </c>
      <c r="AG37" s="2">
        <v>11</v>
      </c>
      <c r="AH37" s="2">
        <v>12</v>
      </c>
      <c r="AI37" s="2">
        <v>13</v>
      </c>
      <c r="AJ37" s="2">
        <v>15</v>
      </c>
      <c r="AK37" s="2">
        <v>17</v>
      </c>
      <c r="AL37" s="2">
        <v>19</v>
      </c>
      <c r="AM37" s="2">
        <v>20</v>
      </c>
      <c r="AN37" s="2">
        <v>18</v>
      </c>
      <c r="AO37" s="2">
        <v>16</v>
      </c>
      <c r="AP37" s="2">
        <v>13</v>
      </c>
      <c r="AQ37" s="2">
        <v>11</v>
      </c>
      <c r="AR37" s="2">
        <v>25</v>
      </c>
      <c r="AU37" s="5" t="s">
        <v>175</v>
      </c>
      <c r="AV37" s="1">
        <v>42</v>
      </c>
      <c r="AW37" s="1">
        <v>38</v>
      </c>
      <c r="AX37" s="1" t="s">
        <v>253</v>
      </c>
      <c r="AY37" s="1">
        <v>-5</v>
      </c>
      <c r="BE37" s="5" t="s">
        <v>175</v>
      </c>
      <c r="BF37" s="2">
        <v>156</v>
      </c>
      <c r="BG37" s="2">
        <v>161</v>
      </c>
      <c r="BH37" s="2">
        <v>257</v>
      </c>
      <c r="BI37" s="2">
        <v>223</v>
      </c>
      <c r="BJ37" s="2">
        <v>266</v>
      </c>
      <c r="BK37" s="2">
        <v>366</v>
      </c>
      <c r="BL37" s="2">
        <v>355</v>
      </c>
      <c r="BM37" s="2">
        <v>347</v>
      </c>
      <c r="BN37" s="2">
        <v>323</v>
      </c>
      <c r="BO37" s="2">
        <v>253</v>
      </c>
      <c r="BP37" s="2">
        <v>187</v>
      </c>
      <c r="BQ37" s="2">
        <v>152</v>
      </c>
      <c r="BR37" s="2"/>
    </row>
    <row r="38" spans="1:70" x14ac:dyDescent="0.25">
      <c r="A38" s="4">
        <v>34</v>
      </c>
      <c r="B38" s="5" t="s">
        <v>176</v>
      </c>
      <c r="C38" s="6">
        <v>5</v>
      </c>
      <c r="D38" s="6">
        <v>7.4</v>
      </c>
      <c r="E38" s="6">
        <v>12.3</v>
      </c>
      <c r="F38" s="6">
        <v>14.5</v>
      </c>
      <c r="G38" s="6">
        <v>17.100000000000001</v>
      </c>
      <c r="H38" s="6">
        <v>18.899999999999999</v>
      </c>
      <c r="I38" s="6">
        <v>20.5</v>
      </c>
      <c r="J38" s="6">
        <v>18.2</v>
      </c>
      <c r="K38" s="6">
        <v>16.2</v>
      </c>
      <c r="L38" s="6">
        <v>10.199999999999999</v>
      </c>
      <c r="M38" s="6">
        <v>6</v>
      </c>
      <c r="N38" s="6">
        <v>4.5</v>
      </c>
      <c r="O38" s="7">
        <f t="shared" si="0"/>
        <v>12.566666666666665</v>
      </c>
      <c r="Q38" s="6">
        <v>7</v>
      </c>
      <c r="R38" s="6">
        <v>7</v>
      </c>
      <c r="S38" s="6">
        <v>11</v>
      </c>
      <c r="T38" s="6">
        <v>13</v>
      </c>
      <c r="U38" s="6">
        <v>16</v>
      </c>
      <c r="V38" s="6">
        <v>20</v>
      </c>
      <c r="W38" s="6">
        <v>22</v>
      </c>
      <c r="X38" s="6">
        <v>23</v>
      </c>
      <c r="Y38" s="6">
        <v>20</v>
      </c>
      <c r="Z38" s="6">
        <v>15</v>
      </c>
      <c r="AA38" s="6">
        <v>10</v>
      </c>
      <c r="AB38" s="6">
        <v>8</v>
      </c>
      <c r="AC38" s="7">
        <f t="shared" si="1"/>
        <v>14.333333333333334</v>
      </c>
      <c r="AE38" s="5" t="s">
        <v>176</v>
      </c>
      <c r="AF38" s="2">
        <v>7</v>
      </c>
      <c r="AG38" s="2">
        <v>8</v>
      </c>
      <c r="AH38" s="2">
        <v>9</v>
      </c>
      <c r="AI38" s="2">
        <v>10</v>
      </c>
      <c r="AJ38" s="2">
        <v>12</v>
      </c>
      <c r="AK38" s="2">
        <v>15</v>
      </c>
      <c r="AL38" s="2">
        <v>17</v>
      </c>
      <c r="AM38" s="2">
        <v>17</v>
      </c>
      <c r="AN38" s="2">
        <v>16</v>
      </c>
      <c r="AO38" s="2">
        <v>13</v>
      </c>
      <c r="AP38" s="2">
        <v>9</v>
      </c>
      <c r="AQ38" s="2">
        <v>7</v>
      </c>
      <c r="AR38" s="2">
        <v>456</v>
      </c>
      <c r="AU38" s="5" t="s">
        <v>176</v>
      </c>
      <c r="AV38" s="1">
        <v>449</v>
      </c>
      <c r="AW38" s="1">
        <v>42.8</v>
      </c>
      <c r="AX38" s="1" t="s">
        <v>254</v>
      </c>
      <c r="AY38" s="1">
        <v>-16</v>
      </c>
      <c r="BE38" s="5" t="s">
        <v>176</v>
      </c>
      <c r="BF38" s="2">
        <v>102</v>
      </c>
      <c r="BG38" s="2">
        <v>141</v>
      </c>
      <c r="BH38" s="2">
        <v>198</v>
      </c>
      <c r="BI38" s="2">
        <v>213</v>
      </c>
      <c r="BJ38" s="2">
        <v>262</v>
      </c>
      <c r="BK38" s="2">
        <v>359</v>
      </c>
      <c r="BL38" s="2">
        <v>381</v>
      </c>
      <c r="BM38" s="2">
        <v>381</v>
      </c>
      <c r="BN38" s="2">
        <v>295</v>
      </c>
      <c r="BO38" s="2">
        <v>208</v>
      </c>
      <c r="BP38" s="2">
        <v>121</v>
      </c>
      <c r="BQ38" s="2">
        <v>133</v>
      </c>
      <c r="BR38" s="2"/>
    </row>
    <row r="39" spans="1:70" x14ac:dyDescent="0.25">
      <c r="A39" s="4">
        <v>35</v>
      </c>
      <c r="B39" s="5" t="s">
        <v>177</v>
      </c>
      <c r="C39" s="6">
        <v>4.7</v>
      </c>
      <c r="D39" s="6">
        <v>7.3</v>
      </c>
      <c r="E39" s="6">
        <v>11.3</v>
      </c>
      <c r="F39" s="6">
        <v>14</v>
      </c>
      <c r="G39" s="6">
        <v>16.2</v>
      </c>
      <c r="H39" s="6">
        <v>17.600000000000001</v>
      </c>
      <c r="I39" s="6">
        <v>18.3</v>
      </c>
      <c r="J39" s="6">
        <v>16.600000000000001</v>
      </c>
      <c r="K39" s="6">
        <v>14.3</v>
      </c>
      <c r="L39" s="6">
        <v>9.4</v>
      </c>
      <c r="M39" s="6">
        <v>5.6</v>
      </c>
      <c r="N39" s="6">
        <v>4.3</v>
      </c>
      <c r="O39" s="7">
        <f t="shared" si="0"/>
        <v>11.633333333333333</v>
      </c>
      <c r="Q39" s="6">
        <v>9</v>
      </c>
      <c r="R39" s="6">
        <v>9</v>
      </c>
      <c r="S39" s="6">
        <v>13</v>
      </c>
      <c r="T39" s="6">
        <v>15</v>
      </c>
      <c r="U39" s="6">
        <v>18</v>
      </c>
      <c r="V39" s="6">
        <v>21</v>
      </c>
      <c r="W39" s="6">
        <v>24</v>
      </c>
      <c r="X39" s="6">
        <v>23</v>
      </c>
      <c r="Y39" s="6">
        <v>21</v>
      </c>
      <c r="Z39" s="6">
        <v>16</v>
      </c>
      <c r="AA39" s="6">
        <v>12</v>
      </c>
      <c r="AB39" s="6">
        <v>9</v>
      </c>
      <c r="AC39" s="7">
        <f t="shared" si="1"/>
        <v>15.833333333333334</v>
      </c>
      <c r="AE39" s="5" t="s">
        <v>177</v>
      </c>
      <c r="AF39" s="2">
        <v>8</v>
      </c>
      <c r="AG39" s="2">
        <v>10</v>
      </c>
      <c r="AH39" s="2">
        <v>11</v>
      </c>
      <c r="AI39" s="2">
        <v>12</v>
      </c>
      <c r="AJ39" s="2">
        <v>14</v>
      </c>
      <c r="AK39" s="2">
        <v>16</v>
      </c>
      <c r="AL39" s="2">
        <v>18</v>
      </c>
      <c r="AM39" s="2">
        <v>18</v>
      </c>
      <c r="AN39" s="2">
        <v>17</v>
      </c>
      <c r="AO39" s="2">
        <v>13</v>
      </c>
      <c r="AP39" s="2">
        <v>11</v>
      </c>
      <c r="AQ39" s="2">
        <v>9</v>
      </c>
      <c r="AR39" s="2">
        <v>327</v>
      </c>
      <c r="AU39" s="5" t="s">
        <v>177</v>
      </c>
      <c r="AV39" s="1">
        <v>139</v>
      </c>
      <c r="AW39" s="1">
        <v>42.3</v>
      </c>
      <c r="AX39" s="1" t="s">
        <v>255</v>
      </c>
      <c r="AY39" s="1">
        <v>-8</v>
      </c>
      <c r="BE39" s="5" t="s">
        <v>177</v>
      </c>
      <c r="BF39" s="2">
        <v>53</v>
      </c>
      <c r="BG39" s="2">
        <v>86</v>
      </c>
      <c r="BH39" s="2">
        <v>167</v>
      </c>
      <c r="BI39" s="2">
        <v>179</v>
      </c>
      <c r="BJ39" s="2">
        <v>184</v>
      </c>
      <c r="BK39" s="2">
        <v>289</v>
      </c>
      <c r="BL39" s="2">
        <v>358</v>
      </c>
      <c r="BM39" s="2">
        <v>320</v>
      </c>
      <c r="BN39" s="2">
        <v>238</v>
      </c>
      <c r="BO39" s="2">
        <v>165</v>
      </c>
      <c r="BP39" s="2">
        <v>71</v>
      </c>
      <c r="BQ39" s="2">
        <v>99</v>
      </c>
      <c r="BR39" s="2"/>
    </row>
    <row r="40" spans="1:70" x14ac:dyDescent="0.25">
      <c r="A40" s="4">
        <v>36</v>
      </c>
      <c r="B40" s="5" t="s">
        <v>178</v>
      </c>
      <c r="C40" s="6">
        <v>5.3</v>
      </c>
      <c r="D40" s="6">
        <v>9</v>
      </c>
      <c r="E40" s="6">
        <v>13.2</v>
      </c>
      <c r="F40" s="6">
        <v>17.5</v>
      </c>
      <c r="G40" s="6">
        <v>19.7</v>
      </c>
      <c r="H40" s="6">
        <v>21.8</v>
      </c>
      <c r="I40" s="6">
        <v>24.1</v>
      </c>
      <c r="J40" s="6">
        <v>21.6</v>
      </c>
      <c r="K40" s="6">
        <v>17.100000000000001</v>
      </c>
      <c r="L40" s="6">
        <v>10.9</v>
      </c>
      <c r="M40" s="6">
        <v>6.6</v>
      </c>
      <c r="N40" s="6">
        <v>4.5999999999999996</v>
      </c>
      <c r="O40" s="7">
        <f t="shared" si="0"/>
        <v>14.283333333333331</v>
      </c>
      <c r="Q40" s="6">
        <v>5</v>
      </c>
      <c r="R40" s="6">
        <v>7</v>
      </c>
      <c r="S40" s="6">
        <v>10</v>
      </c>
      <c r="T40" s="6">
        <v>13</v>
      </c>
      <c r="U40" s="6">
        <v>16</v>
      </c>
      <c r="V40" s="6">
        <v>20</v>
      </c>
      <c r="W40" s="6">
        <v>23</v>
      </c>
      <c r="X40" s="6">
        <v>23</v>
      </c>
      <c r="Y40" s="6">
        <v>20</v>
      </c>
      <c r="Z40" s="6">
        <v>14</v>
      </c>
      <c r="AA40" s="6">
        <v>9</v>
      </c>
      <c r="AB40" s="6">
        <v>6</v>
      </c>
      <c r="AC40" s="7">
        <f t="shared" si="1"/>
        <v>13.833333333333334</v>
      </c>
      <c r="AE40" s="5" t="s">
        <v>178</v>
      </c>
      <c r="AF40" s="2">
        <v>6</v>
      </c>
      <c r="AG40" s="2">
        <v>7</v>
      </c>
      <c r="AH40" s="2">
        <v>8</v>
      </c>
      <c r="AI40" s="2">
        <v>10</v>
      </c>
      <c r="AJ40" s="2">
        <v>12</v>
      </c>
      <c r="AK40" s="2">
        <v>15</v>
      </c>
      <c r="AL40" s="2">
        <v>17</v>
      </c>
      <c r="AM40" s="2">
        <v>17</v>
      </c>
      <c r="AN40" s="2">
        <v>15</v>
      </c>
      <c r="AO40" s="2">
        <v>12</v>
      </c>
      <c r="AP40" s="2">
        <v>9</v>
      </c>
      <c r="AQ40" s="2">
        <v>6</v>
      </c>
      <c r="AR40" s="2">
        <v>722</v>
      </c>
      <c r="AU40" s="5" t="s">
        <v>178</v>
      </c>
      <c r="AV40" s="1">
        <v>734</v>
      </c>
      <c r="AW40" s="1">
        <v>42</v>
      </c>
      <c r="AX40" s="1" t="s">
        <v>256</v>
      </c>
      <c r="AY40" s="1">
        <v>-14</v>
      </c>
      <c r="BE40" s="5" t="s">
        <v>178</v>
      </c>
      <c r="BF40" s="2">
        <v>102</v>
      </c>
      <c r="BG40" s="2">
        <v>141</v>
      </c>
      <c r="BH40" s="2">
        <v>198</v>
      </c>
      <c r="BI40" s="2">
        <v>213</v>
      </c>
      <c r="BJ40" s="2">
        <v>262</v>
      </c>
      <c r="BK40" s="2">
        <v>359</v>
      </c>
      <c r="BL40" s="2">
        <v>381</v>
      </c>
      <c r="BM40" s="2">
        <v>381</v>
      </c>
      <c r="BN40" s="2">
        <v>295</v>
      </c>
      <c r="BO40" s="2">
        <v>208</v>
      </c>
      <c r="BP40" s="2">
        <v>121</v>
      </c>
      <c r="BQ40" s="2">
        <v>133</v>
      </c>
      <c r="BR40" s="2"/>
    </row>
    <row r="41" spans="1:70" x14ac:dyDescent="0.25">
      <c r="A41" s="4">
        <v>37</v>
      </c>
      <c r="B41" s="5" t="s">
        <v>179</v>
      </c>
      <c r="C41" s="6">
        <v>11.2</v>
      </c>
      <c r="D41" s="6">
        <v>14.2</v>
      </c>
      <c r="E41" s="6">
        <v>17.8</v>
      </c>
      <c r="F41" s="6">
        <v>19.600000000000001</v>
      </c>
      <c r="G41" s="6">
        <v>21.7</v>
      </c>
      <c r="H41" s="6">
        <v>22.5</v>
      </c>
      <c r="I41" s="6">
        <v>24.3</v>
      </c>
      <c r="J41" s="6">
        <v>21.9</v>
      </c>
      <c r="K41" s="6">
        <v>19.8</v>
      </c>
      <c r="L41" s="6">
        <v>15.1</v>
      </c>
      <c r="M41" s="6">
        <v>12.3</v>
      </c>
      <c r="N41" s="6">
        <v>10.7</v>
      </c>
      <c r="O41" s="7">
        <f t="shared" si="0"/>
        <v>17.591666666666669</v>
      </c>
      <c r="Q41" s="6">
        <v>20</v>
      </c>
      <c r="R41" s="6">
        <v>20</v>
      </c>
      <c r="S41" s="6">
        <v>21</v>
      </c>
      <c r="T41" s="6">
        <v>22</v>
      </c>
      <c r="U41" s="6">
        <v>23</v>
      </c>
      <c r="V41" s="6">
        <v>24</v>
      </c>
      <c r="W41" s="6">
        <v>25</v>
      </c>
      <c r="X41" s="6">
        <v>25</v>
      </c>
      <c r="Y41" s="6">
        <v>26</v>
      </c>
      <c r="Z41" s="6">
        <v>25</v>
      </c>
      <c r="AA41" s="6">
        <v>23</v>
      </c>
      <c r="AB41" s="6">
        <v>21</v>
      </c>
      <c r="AC41" s="7">
        <f t="shared" si="1"/>
        <v>22.916666666666668</v>
      </c>
      <c r="AE41" s="5" t="s">
        <v>179</v>
      </c>
      <c r="AF41" s="2">
        <v>15</v>
      </c>
      <c r="AG41" s="2">
        <v>15</v>
      </c>
      <c r="AH41" s="2">
        <v>16</v>
      </c>
      <c r="AI41" s="2">
        <v>16</v>
      </c>
      <c r="AJ41" s="2">
        <v>17</v>
      </c>
      <c r="AK41" s="2">
        <v>18</v>
      </c>
      <c r="AL41" s="2">
        <v>19</v>
      </c>
      <c r="AM41" s="2">
        <v>19</v>
      </c>
      <c r="AN41" s="2">
        <v>19</v>
      </c>
      <c r="AO41" s="2">
        <v>18</v>
      </c>
      <c r="AP41" s="2">
        <v>17</v>
      </c>
      <c r="AQ41" s="2">
        <v>16</v>
      </c>
      <c r="AR41" s="2">
        <v>1</v>
      </c>
      <c r="AU41" s="5" t="s">
        <v>179</v>
      </c>
      <c r="AV41" s="1">
        <v>6</v>
      </c>
      <c r="AW41" s="1">
        <v>28.2</v>
      </c>
      <c r="AX41" s="1" t="s">
        <v>257</v>
      </c>
      <c r="AY41" s="1">
        <v>6</v>
      </c>
      <c r="BE41" s="5" t="s">
        <v>179</v>
      </c>
      <c r="BF41" s="2">
        <v>149</v>
      </c>
      <c r="BG41" s="2">
        <v>129</v>
      </c>
      <c r="BH41" s="2">
        <v>244</v>
      </c>
      <c r="BI41" s="2">
        <v>248</v>
      </c>
      <c r="BJ41" s="2">
        <v>285</v>
      </c>
      <c r="BK41" s="2">
        <v>364</v>
      </c>
      <c r="BL41" s="2">
        <v>348</v>
      </c>
      <c r="BM41" s="2">
        <v>352</v>
      </c>
      <c r="BN41" s="2">
        <v>294</v>
      </c>
      <c r="BO41" s="2">
        <v>214</v>
      </c>
      <c r="BP41" s="2">
        <v>152</v>
      </c>
      <c r="BQ41" s="2">
        <v>202</v>
      </c>
      <c r="BR41" s="2"/>
    </row>
    <row r="42" spans="1:70" x14ac:dyDescent="0.25">
      <c r="A42" s="4">
        <v>38</v>
      </c>
      <c r="B42" s="5" t="s">
        <v>180</v>
      </c>
      <c r="C42" s="6">
        <v>5.5</v>
      </c>
      <c r="D42" s="6">
        <v>8.1999999999999993</v>
      </c>
      <c r="E42" s="6">
        <v>13</v>
      </c>
      <c r="F42" s="6">
        <v>15.7</v>
      </c>
      <c r="G42" s="6">
        <v>17.5</v>
      </c>
      <c r="H42" s="6">
        <v>20.399999999999999</v>
      </c>
      <c r="I42" s="6">
        <v>22</v>
      </c>
      <c r="J42" s="6">
        <v>18.899999999999999</v>
      </c>
      <c r="K42" s="6">
        <v>15.1</v>
      </c>
      <c r="L42" s="6">
        <v>11.3</v>
      </c>
      <c r="M42" s="6">
        <v>6.8</v>
      </c>
      <c r="N42" s="6">
        <v>5.5</v>
      </c>
      <c r="O42" s="7">
        <f t="shared" si="0"/>
        <v>13.325000000000001</v>
      </c>
      <c r="Q42" s="6">
        <v>11</v>
      </c>
      <c r="R42" s="6">
        <v>12</v>
      </c>
      <c r="S42" s="6">
        <v>14</v>
      </c>
      <c r="T42" s="6">
        <v>16</v>
      </c>
      <c r="U42" s="6">
        <v>18</v>
      </c>
      <c r="V42" s="6">
        <v>20</v>
      </c>
      <c r="W42" s="6">
        <v>22</v>
      </c>
      <c r="X42" s="6">
        <v>23</v>
      </c>
      <c r="Y42" s="6">
        <v>20</v>
      </c>
      <c r="Z42" s="6">
        <v>17</v>
      </c>
      <c r="AA42" s="6">
        <v>14</v>
      </c>
      <c r="AB42" s="6">
        <v>12</v>
      </c>
      <c r="AC42" s="7">
        <f t="shared" si="1"/>
        <v>16.583333333333332</v>
      </c>
      <c r="AE42" s="5" t="s">
        <v>180</v>
      </c>
      <c r="AF42" s="2">
        <v>10</v>
      </c>
      <c r="AG42" s="2">
        <v>11</v>
      </c>
      <c r="AH42" s="2">
        <v>11</v>
      </c>
      <c r="AI42" s="2">
        <v>13</v>
      </c>
      <c r="AJ42" s="2">
        <v>14</v>
      </c>
      <c r="AK42" s="2">
        <v>16</v>
      </c>
      <c r="AL42" s="2">
        <v>17</v>
      </c>
      <c r="AM42" s="2">
        <v>17</v>
      </c>
      <c r="AN42" s="2">
        <v>16</v>
      </c>
      <c r="AO42" s="2">
        <v>14</v>
      </c>
      <c r="AP42" s="2">
        <v>12</v>
      </c>
      <c r="AQ42" s="2">
        <v>10</v>
      </c>
      <c r="AR42" s="2">
        <v>77</v>
      </c>
      <c r="AU42" s="5" t="s">
        <v>180</v>
      </c>
      <c r="AV42" s="1">
        <v>19</v>
      </c>
      <c r="AW42" s="1">
        <v>42.4</v>
      </c>
      <c r="AX42" s="1" t="s">
        <v>258</v>
      </c>
      <c r="AY42" s="1">
        <v>-4</v>
      </c>
      <c r="BE42" s="5" t="s">
        <v>180</v>
      </c>
      <c r="BF42" s="2">
        <v>46</v>
      </c>
      <c r="BG42" s="2">
        <v>80</v>
      </c>
      <c r="BH42" s="2">
        <v>158</v>
      </c>
      <c r="BI42" s="2">
        <v>206</v>
      </c>
      <c r="BJ42" s="2">
        <v>194</v>
      </c>
      <c r="BK42" s="2">
        <v>273</v>
      </c>
      <c r="BL42" s="2">
        <v>377</v>
      </c>
      <c r="BM42" s="2">
        <v>324</v>
      </c>
      <c r="BN42" s="2">
        <v>250</v>
      </c>
      <c r="BO42" s="2">
        <v>152</v>
      </c>
      <c r="BP42" s="2">
        <v>102</v>
      </c>
      <c r="BQ42" s="2">
        <v>144</v>
      </c>
      <c r="BR42" s="2"/>
    </row>
    <row r="43" spans="1:70" x14ac:dyDescent="0.25">
      <c r="A43" s="4">
        <v>39</v>
      </c>
      <c r="B43" s="5" t="s">
        <v>181</v>
      </c>
      <c r="C43" s="6">
        <v>5.6</v>
      </c>
      <c r="D43" s="6">
        <v>8.8000000000000007</v>
      </c>
      <c r="E43" s="6">
        <v>13.7</v>
      </c>
      <c r="F43" s="6">
        <v>16.600000000000001</v>
      </c>
      <c r="G43" s="6">
        <v>19.2</v>
      </c>
      <c r="H43" s="6">
        <v>21.4</v>
      </c>
      <c r="I43" s="6">
        <v>23.3</v>
      </c>
      <c r="J43" s="6">
        <v>20.8</v>
      </c>
      <c r="K43" s="6">
        <v>16.2</v>
      </c>
      <c r="L43" s="6">
        <v>10.7</v>
      </c>
      <c r="M43" s="6">
        <v>6.8</v>
      </c>
      <c r="N43" s="6">
        <v>4.8</v>
      </c>
      <c r="O43" s="7">
        <f t="shared" si="0"/>
        <v>13.991666666666667</v>
      </c>
      <c r="Q43" s="6">
        <v>7</v>
      </c>
      <c r="R43" s="6">
        <v>9</v>
      </c>
      <c r="S43" s="6">
        <v>12</v>
      </c>
      <c r="T43" s="6">
        <v>14</v>
      </c>
      <c r="U43" s="6">
        <v>17</v>
      </c>
      <c r="V43" s="6">
        <v>21</v>
      </c>
      <c r="W43" s="6">
        <v>24</v>
      </c>
      <c r="X43" s="6">
        <v>24</v>
      </c>
      <c r="Y43" s="6">
        <v>21</v>
      </c>
      <c r="Z43" s="6">
        <v>16</v>
      </c>
      <c r="AA43" s="6">
        <v>11</v>
      </c>
      <c r="AB43" s="6">
        <v>8</v>
      </c>
      <c r="AC43" s="7">
        <f t="shared" si="1"/>
        <v>15.333333333333334</v>
      </c>
      <c r="AE43" s="5" t="s">
        <v>181</v>
      </c>
      <c r="AF43" s="2">
        <v>7</v>
      </c>
      <c r="AG43" s="2">
        <v>8</v>
      </c>
      <c r="AH43" s="2">
        <v>10</v>
      </c>
      <c r="AI43" s="2">
        <v>11</v>
      </c>
      <c r="AJ43" s="2">
        <v>13</v>
      </c>
      <c r="AK43" s="2">
        <v>16</v>
      </c>
      <c r="AL43" s="2">
        <v>18</v>
      </c>
      <c r="AM43" s="2">
        <v>18</v>
      </c>
      <c r="AN43" s="2">
        <v>16</v>
      </c>
      <c r="AO43" s="2">
        <v>13</v>
      </c>
      <c r="AP43" s="2">
        <v>10</v>
      </c>
      <c r="AQ43" s="2"/>
      <c r="AR43" s="2">
        <v>379</v>
      </c>
      <c r="AU43" s="5" t="s">
        <v>181</v>
      </c>
      <c r="AV43" s="1">
        <v>380</v>
      </c>
      <c r="AW43" s="1">
        <v>42.5</v>
      </c>
      <c r="AX43" s="1" t="s">
        <v>228</v>
      </c>
      <c r="AY43" s="1">
        <v>-12</v>
      </c>
      <c r="BE43" s="5" t="s">
        <v>181</v>
      </c>
      <c r="BF43" s="2">
        <v>102</v>
      </c>
      <c r="BG43" s="2">
        <v>141</v>
      </c>
      <c r="BH43" s="2">
        <v>198</v>
      </c>
      <c r="BI43" s="2">
        <v>213</v>
      </c>
      <c r="BJ43" s="2">
        <v>262</v>
      </c>
      <c r="BK43" s="2">
        <v>359</v>
      </c>
      <c r="BL43" s="2">
        <v>381</v>
      </c>
      <c r="BM43" s="2">
        <v>381</v>
      </c>
      <c r="BN43" s="2">
        <v>295</v>
      </c>
      <c r="BO43" s="2">
        <v>208</v>
      </c>
      <c r="BP43" s="2">
        <v>121</v>
      </c>
      <c r="BQ43" s="2">
        <v>133</v>
      </c>
      <c r="BR43" s="2"/>
    </row>
    <row r="44" spans="1:70" x14ac:dyDescent="0.25">
      <c r="A44" s="4">
        <v>40</v>
      </c>
      <c r="B44" s="5" t="s">
        <v>182</v>
      </c>
      <c r="C44" s="6">
        <v>6.1</v>
      </c>
      <c r="D44" s="6">
        <v>9.5</v>
      </c>
      <c r="E44" s="6">
        <v>13.5</v>
      </c>
      <c r="F44" s="6">
        <v>17.100000000000001</v>
      </c>
      <c r="G44" s="6">
        <v>19.7</v>
      </c>
      <c r="H44" s="6">
        <v>22.8</v>
      </c>
      <c r="I44" s="6">
        <v>24.6</v>
      </c>
      <c r="J44" s="6">
        <v>22.6</v>
      </c>
      <c r="K44" s="6">
        <v>17.5</v>
      </c>
      <c r="L44" s="6">
        <v>11.3</v>
      </c>
      <c r="M44" s="6">
        <v>7.4</v>
      </c>
      <c r="N44" s="6">
        <v>5.2</v>
      </c>
      <c r="O44" s="7">
        <f t="shared" si="0"/>
        <v>14.775</v>
      </c>
      <c r="Q44" s="6">
        <v>6</v>
      </c>
      <c r="R44" s="6">
        <v>7</v>
      </c>
      <c r="S44" s="6">
        <v>10</v>
      </c>
      <c r="T44" s="6">
        <v>13</v>
      </c>
      <c r="U44" s="6">
        <v>16</v>
      </c>
      <c r="V44" s="6">
        <v>20</v>
      </c>
      <c r="W44" s="6">
        <v>24</v>
      </c>
      <c r="X44" s="6">
        <v>23</v>
      </c>
      <c r="Y44" s="6">
        <v>20</v>
      </c>
      <c r="Z44" s="6">
        <v>14</v>
      </c>
      <c r="AA44" s="6">
        <v>9</v>
      </c>
      <c r="AB44" s="6">
        <v>6</v>
      </c>
      <c r="AC44" s="7">
        <f t="shared" si="1"/>
        <v>14</v>
      </c>
      <c r="AE44" s="5" t="s">
        <v>182</v>
      </c>
      <c r="AF44" s="2">
        <v>6</v>
      </c>
      <c r="AG44" s="2">
        <v>7</v>
      </c>
      <c r="AH44" s="2">
        <v>8</v>
      </c>
      <c r="AI44" s="2">
        <v>10</v>
      </c>
      <c r="AJ44" s="2">
        <v>12</v>
      </c>
      <c r="AK44" s="2">
        <v>15</v>
      </c>
      <c r="AL44" s="2">
        <v>17</v>
      </c>
      <c r="AM44" s="2">
        <v>17</v>
      </c>
      <c r="AN44" s="2">
        <v>15</v>
      </c>
      <c r="AO44" s="2">
        <v>12</v>
      </c>
      <c r="AP44" s="2">
        <v>8</v>
      </c>
      <c r="AQ44" s="2">
        <v>6</v>
      </c>
      <c r="AR44" s="2">
        <v>770</v>
      </c>
      <c r="AU44" s="5" t="s">
        <v>182</v>
      </c>
      <c r="AV44" s="1">
        <v>803</v>
      </c>
      <c r="AW44" s="1">
        <v>41</v>
      </c>
      <c r="AX44" s="1" t="s">
        <v>248</v>
      </c>
      <c r="AY44" s="1">
        <v>-16</v>
      </c>
      <c r="BE44" s="5" t="s">
        <v>182</v>
      </c>
      <c r="BF44" s="2">
        <v>102</v>
      </c>
      <c r="BG44" s="2">
        <v>141</v>
      </c>
      <c r="BH44" s="2">
        <v>198</v>
      </c>
      <c r="BI44" s="2">
        <v>213</v>
      </c>
      <c r="BJ44" s="2">
        <v>262</v>
      </c>
      <c r="BK44" s="2">
        <v>359</v>
      </c>
      <c r="BL44" s="2">
        <v>381</v>
      </c>
      <c r="BM44" s="2">
        <v>381</v>
      </c>
      <c r="BN44" s="2">
        <v>295</v>
      </c>
      <c r="BO44" s="2">
        <v>208</v>
      </c>
      <c r="BP44" s="2">
        <v>121</v>
      </c>
      <c r="BQ44" s="2">
        <v>133</v>
      </c>
      <c r="BR44" s="2"/>
    </row>
    <row r="45" spans="1:70" x14ac:dyDescent="0.25">
      <c r="A45" s="4">
        <v>41</v>
      </c>
      <c r="B45" s="5" t="s">
        <v>183</v>
      </c>
      <c r="C45" s="6">
        <v>10.7</v>
      </c>
      <c r="D45" s="6">
        <v>13.3</v>
      </c>
      <c r="E45" s="6">
        <v>18.100000000000001</v>
      </c>
      <c r="F45" s="6">
        <v>21.5</v>
      </c>
      <c r="G45" s="6">
        <v>25.7</v>
      </c>
      <c r="H45" s="6">
        <v>26.5</v>
      </c>
      <c r="I45" s="6">
        <v>29.3</v>
      </c>
      <c r="J45" s="6">
        <v>26.6</v>
      </c>
      <c r="K45" s="6">
        <v>21.2</v>
      </c>
      <c r="L45" s="6">
        <v>16.2</v>
      </c>
      <c r="M45" s="6">
        <v>10.8</v>
      </c>
      <c r="N45" s="6">
        <v>9.3000000000000007</v>
      </c>
      <c r="O45" s="7">
        <f t="shared" si="0"/>
        <v>19.099999999999998</v>
      </c>
      <c r="Q45" s="6">
        <v>19</v>
      </c>
      <c r="R45" s="6">
        <v>20</v>
      </c>
      <c r="S45" s="6">
        <v>20</v>
      </c>
      <c r="T45" s="6">
        <v>21</v>
      </c>
      <c r="U45" s="6">
        <v>22</v>
      </c>
      <c r="V45" s="6">
        <v>24</v>
      </c>
      <c r="W45" s="6">
        <v>26</v>
      </c>
      <c r="X45" s="6">
        <v>27</v>
      </c>
      <c r="Y45" s="6">
        <v>26</v>
      </c>
      <c r="Z45" s="6">
        <v>25</v>
      </c>
      <c r="AA45" s="6">
        <v>23</v>
      </c>
      <c r="AB45" s="6">
        <v>20</v>
      </c>
      <c r="AC45" s="7">
        <f t="shared" si="1"/>
        <v>22.75</v>
      </c>
      <c r="AE45" s="5" t="s">
        <v>183</v>
      </c>
      <c r="AF45" s="2">
        <v>15</v>
      </c>
      <c r="AG45" s="2">
        <v>15</v>
      </c>
      <c r="AH45" s="2">
        <v>16</v>
      </c>
      <c r="AI45" s="2">
        <v>16</v>
      </c>
      <c r="AJ45" s="2">
        <v>17</v>
      </c>
      <c r="AK45" s="2">
        <v>18</v>
      </c>
      <c r="AL45" s="2">
        <v>20</v>
      </c>
      <c r="AM45" s="2">
        <v>20</v>
      </c>
      <c r="AN45" s="2">
        <v>20</v>
      </c>
      <c r="AO45" s="2">
        <v>18</v>
      </c>
      <c r="AP45" s="2">
        <v>17</v>
      </c>
      <c r="AQ45" s="2">
        <v>16</v>
      </c>
      <c r="AR45" s="2">
        <v>0</v>
      </c>
      <c r="AU45" s="5" t="s">
        <v>183</v>
      </c>
      <c r="AV45" s="1">
        <v>37</v>
      </c>
      <c r="AW45" s="1">
        <v>28.5</v>
      </c>
      <c r="AX45" s="1" t="s">
        <v>259</v>
      </c>
      <c r="AY45" s="1">
        <v>3</v>
      </c>
      <c r="BE45" s="5" t="s">
        <v>183</v>
      </c>
      <c r="BF45" s="2">
        <v>149</v>
      </c>
      <c r="BG45" s="2">
        <v>129</v>
      </c>
      <c r="BH45" s="2">
        <v>244</v>
      </c>
      <c r="BI45" s="2">
        <v>248</v>
      </c>
      <c r="BJ45" s="2">
        <v>285</v>
      </c>
      <c r="BK45" s="2">
        <v>364</v>
      </c>
      <c r="BL45" s="2">
        <v>348</v>
      </c>
      <c r="BM45" s="2">
        <v>352</v>
      </c>
      <c r="BN45" s="2">
        <v>294</v>
      </c>
      <c r="BO45" s="2">
        <v>214</v>
      </c>
      <c r="BP45" s="2">
        <v>152</v>
      </c>
      <c r="BQ45" s="2">
        <v>202</v>
      </c>
      <c r="BR45" s="2"/>
    </row>
    <row r="46" spans="1:70" x14ac:dyDescent="0.25">
      <c r="A46" s="4">
        <v>42</v>
      </c>
      <c r="B46" s="5" t="s">
        <v>184</v>
      </c>
      <c r="C46" s="6">
        <v>5.7</v>
      </c>
      <c r="D46" s="6">
        <v>8.8000000000000007</v>
      </c>
      <c r="E46" s="6">
        <v>13.4</v>
      </c>
      <c r="F46" s="6">
        <v>18.399999999999999</v>
      </c>
      <c r="G46" s="6">
        <v>20.399999999999999</v>
      </c>
      <c r="H46" s="6">
        <v>22.6</v>
      </c>
      <c r="I46" s="6">
        <v>25.7</v>
      </c>
      <c r="J46" s="6">
        <v>24.9</v>
      </c>
      <c r="K46" s="6">
        <v>18.8</v>
      </c>
      <c r="L46" s="6">
        <v>11.4</v>
      </c>
      <c r="M46" s="6">
        <v>6.8</v>
      </c>
      <c r="N46" s="6">
        <v>5.0999999999999996</v>
      </c>
      <c r="O46" s="7">
        <f t="shared" si="0"/>
        <v>15.166666666666666</v>
      </c>
      <c r="Q46" s="6">
        <v>4</v>
      </c>
      <c r="R46" s="6">
        <v>6</v>
      </c>
      <c r="S46" s="6">
        <v>10</v>
      </c>
      <c r="T46" s="6">
        <v>12</v>
      </c>
      <c r="U46" s="6">
        <v>15</v>
      </c>
      <c r="V46" s="6">
        <v>20</v>
      </c>
      <c r="W46" s="6">
        <v>24</v>
      </c>
      <c r="X46" s="6">
        <v>23</v>
      </c>
      <c r="Y46" s="6">
        <v>20</v>
      </c>
      <c r="Z46" s="6">
        <v>14</v>
      </c>
      <c r="AA46" s="6">
        <v>9</v>
      </c>
      <c r="AB46" s="6">
        <v>5</v>
      </c>
      <c r="AC46" s="7">
        <f t="shared" si="1"/>
        <v>13.5</v>
      </c>
      <c r="AE46" s="5" t="s">
        <v>184</v>
      </c>
      <c r="AF46" s="2">
        <v>6</v>
      </c>
      <c r="AG46" s="2">
        <v>7</v>
      </c>
      <c r="AH46" s="2">
        <v>8</v>
      </c>
      <c r="AI46" s="2">
        <v>10</v>
      </c>
      <c r="AJ46" s="2">
        <v>12</v>
      </c>
      <c r="AK46" s="2">
        <v>15</v>
      </c>
      <c r="AL46" s="2">
        <v>18</v>
      </c>
      <c r="AM46" s="2">
        <v>18</v>
      </c>
      <c r="AN46" s="2">
        <v>15</v>
      </c>
      <c r="AO46" s="2">
        <v>12</v>
      </c>
      <c r="AP46" s="2">
        <v>8</v>
      </c>
      <c r="AQ46" s="2">
        <v>6</v>
      </c>
      <c r="AR46" s="2">
        <v>1013</v>
      </c>
      <c r="AU46" s="5" t="s">
        <v>184</v>
      </c>
      <c r="AV46" s="1">
        <v>1002</v>
      </c>
      <c r="AW46" s="1">
        <v>41</v>
      </c>
      <c r="AX46" s="1" t="s">
        <v>260</v>
      </c>
      <c r="AY46" s="1">
        <v>-17</v>
      </c>
      <c r="BE46" s="5" t="s">
        <v>184</v>
      </c>
      <c r="BF46" s="2">
        <v>102</v>
      </c>
      <c r="BG46" s="2">
        <v>141</v>
      </c>
      <c r="BH46" s="2">
        <v>198</v>
      </c>
      <c r="BI46" s="2">
        <v>213</v>
      </c>
      <c r="BJ46" s="2">
        <v>262</v>
      </c>
      <c r="BK46" s="2">
        <v>359</v>
      </c>
      <c r="BL46" s="2">
        <v>381</v>
      </c>
      <c r="BM46" s="2">
        <v>381</v>
      </c>
      <c r="BN46" s="2">
        <v>295</v>
      </c>
      <c r="BO46" s="2">
        <v>208</v>
      </c>
      <c r="BP46" s="2">
        <v>121</v>
      </c>
      <c r="BQ46" s="2">
        <v>120</v>
      </c>
      <c r="BR46" s="2"/>
    </row>
    <row r="47" spans="1:70" x14ac:dyDescent="0.25">
      <c r="A47" s="4">
        <v>43</v>
      </c>
      <c r="B47" s="5" t="s">
        <v>185</v>
      </c>
      <c r="C47" s="6">
        <v>7.3</v>
      </c>
      <c r="D47" s="6">
        <v>10.9</v>
      </c>
      <c r="E47" s="6">
        <v>14.4</v>
      </c>
      <c r="F47" s="6">
        <v>19.2</v>
      </c>
      <c r="G47" s="6">
        <v>22.4</v>
      </c>
      <c r="H47" s="6">
        <v>24.3</v>
      </c>
      <c r="I47" s="6">
        <v>24.9</v>
      </c>
      <c r="J47" s="6">
        <v>23</v>
      </c>
      <c r="K47" s="6">
        <v>17.899999999999999</v>
      </c>
      <c r="L47" s="6">
        <v>12.3</v>
      </c>
      <c r="M47" s="6">
        <v>8.8000000000000007</v>
      </c>
      <c r="N47" s="6">
        <v>6.9</v>
      </c>
      <c r="O47" s="7">
        <f t="shared" si="0"/>
        <v>16.025000000000002</v>
      </c>
      <c r="Q47" s="6">
        <v>11</v>
      </c>
      <c r="R47" s="6">
        <v>13</v>
      </c>
      <c r="S47" s="6">
        <v>14</v>
      </c>
      <c r="T47" s="6">
        <v>17</v>
      </c>
      <c r="U47" s="6">
        <v>21</v>
      </c>
      <c r="V47" s="6">
        <v>25</v>
      </c>
      <c r="W47" s="6">
        <v>29</v>
      </c>
      <c r="X47" s="6">
        <v>29</v>
      </c>
      <c r="Y47" s="6">
        <v>24</v>
      </c>
      <c r="Z47" s="6">
        <v>20</v>
      </c>
      <c r="AA47" s="6">
        <v>16</v>
      </c>
      <c r="AB47" s="6">
        <v>12</v>
      </c>
      <c r="AC47" s="7">
        <f t="shared" si="1"/>
        <v>19.25</v>
      </c>
      <c r="AE47" s="5" t="s">
        <v>185</v>
      </c>
      <c r="AF47" s="2">
        <v>11</v>
      </c>
      <c r="AG47" s="2">
        <v>11</v>
      </c>
      <c r="AH47" s="2">
        <v>13</v>
      </c>
      <c r="AI47" s="2">
        <v>14</v>
      </c>
      <c r="AJ47" s="2">
        <v>16</v>
      </c>
      <c r="AK47" s="2">
        <v>19</v>
      </c>
      <c r="AL47" s="2">
        <v>21</v>
      </c>
      <c r="AM47" s="2">
        <v>21</v>
      </c>
      <c r="AN47" s="2">
        <v>20</v>
      </c>
      <c r="AO47" s="2">
        <v>16</v>
      </c>
      <c r="AP47" s="2">
        <v>13</v>
      </c>
      <c r="AQ47" s="2">
        <v>11</v>
      </c>
      <c r="AR47" s="2">
        <v>9</v>
      </c>
      <c r="AU47" s="5" t="s">
        <v>185</v>
      </c>
      <c r="AV47" s="1">
        <v>30</v>
      </c>
      <c r="AW47" s="1">
        <v>37.4</v>
      </c>
      <c r="AX47" s="1" t="s">
        <v>261</v>
      </c>
      <c r="AY47" s="1">
        <v>-6</v>
      </c>
      <c r="BE47" s="5" t="s">
        <v>185</v>
      </c>
      <c r="BF47" s="2">
        <v>159</v>
      </c>
      <c r="BG47" s="2">
        <v>180</v>
      </c>
      <c r="BH47" s="2">
        <v>290</v>
      </c>
      <c r="BI47" s="2">
        <v>248</v>
      </c>
      <c r="BJ47" s="2">
        <v>302</v>
      </c>
      <c r="BK47" s="2">
        <v>393</v>
      </c>
      <c r="BL47" s="2">
        <v>396</v>
      </c>
      <c r="BM47" s="2">
        <v>386</v>
      </c>
      <c r="BN47" s="2">
        <v>326</v>
      </c>
      <c r="BO47" s="2">
        <v>244</v>
      </c>
      <c r="BP47" s="2">
        <v>198</v>
      </c>
      <c r="BQ47" s="2">
        <v>224</v>
      </c>
      <c r="BR47" s="2"/>
    </row>
    <row r="48" spans="1:70" x14ac:dyDescent="0.25">
      <c r="A48" s="4">
        <v>44</v>
      </c>
      <c r="B48" s="5" t="s">
        <v>186</v>
      </c>
      <c r="C48" s="6">
        <v>5.9</v>
      </c>
      <c r="D48" s="6">
        <v>8.6999999999999993</v>
      </c>
      <c r="E48" s="6">
        <v>12.8</v>
      </c>
      <c r="F48" s="6">
        <v>17.100000000000001</v>
      </c>
      <c r="G48" s="6">
        <v>19.7</v>
      </c>
      <c r="H48" s="6">
        <v>21.8</v>
      </c>
      <c r="I48" s="6">
        <v>24.1</v>
      </c>
      <c r="J48" s="6">
        <v>22.3</v>
      </c>
      <c r="K48" s="6">
        <v>17.5</v>
      </c>
      <c r="L48" s="6">
        <v>11.1</v>
      </c>
      <c r="M48" s="6">
        <v>7.6</v>
      </c>
      <c r="N48" s="6">
        <v>5.6</v>
      </c>
      <c r="O48" s="7">
        <f t="shared" si="0"/>
        <v>14.516666666666666</v>
      </c>
      <c r="Q48" s="6">
        <v>4</v>
      </c>
      <c r="R48" s="6">
        <v>6</v>
      </c>
      <c r="S48" s="6">
        <v>9</v>
      </c>
      <c r="T48" s="6">
        <v>11</v>
      </c>
      <c r="U48" s="6">
        <v>14</v>
      </c>
      <c r="V48" s="6">
        <v>19</v>
      </c>
      <c r="W48" s="6">
        <v>22</v>
      </c>
      <c r="X48" s="6">
        <v>22</v>
      </c>
      <c r="Y48" s="6">
        <v>18</v>
      </c>
      <c r="Z48" s="6">
        <v>13</v>
      </c>
      <c r="AA48" s="6">
        <v>8</v>
      </c>
      <c r="AB48" s="6">
        <v>5</v>
      </c>
      <c r="AC48" s="7">
        <f t="shared" si="1"/>
        <v>12.583333333333334</v>
      </c>
      <c r="AE48" s="5" t="s">
        <v>186</v>
      </c>
      <c r="AF48" s="2">
        <v>5</v>
      </c>
      <c r="AG48" s="2">
        <v>6</v>
      </c>
      <c r="AH48" s="2">
        <v>7</v>
      </c>
      <c r="AI48" s="2">
        <v>9</v>
      </c>
      <c r="AJ48" s="2">
        <v>11</v>
      </c>
      <c r="AK48" s="2">
        <v>14</v>
      </c>
      <c r="AL48" s="2">
        <v>17</v>
      </c>
      <c r="AM48" s="2">
        <v>16</v>
      </c>
      <c r="AN48" s="2">
        <v>14</v>
      </c>
      <c r="AO48" s="2">
        <v>11</v>
      </c>
      <c r="AP48" s="2">
        <v>8</v>
      </c>
      <c r="AQ48" s="2">
        <v>6</v>
      </c>
      <c r="AR48" s="2">
        <v>984</v>
      </c>
      <c r="AU48" s="5" t="s">
        <v>186</v>
      </c>
      <c r="AV48" s="1">
        <v>1063</v>
      </c>
      <c r="AW48" s="1">
        <v>41.8</v>
      </c>
      <c r="AX48" s="1" t="s">
        <v>262</v>
      </c>
      <c r="AY48" s="1">
        <v>-16</v>
      </c>
      <c r="BE48" s="5" t="s">
        <v>186</v>
      </c>
      <c r="BF48" s="2">
        <v>102</v>
      </c>
      <c r="BG48" s="2">
        <v>141</v>
      </c>
      <c r="BH48" s="2">
        <v>198</v>
      </c>
      <c r="BI48" s="2">
        <v>213</v>
      </c>
      <c r="BJ48" s="2">
        <v>262</v>
      </c>
      <c r="BK48" s="2">
        <v>359</v>
      </c>
      <c r="BL48" s="2">
        <v>381</v>
      </c>
      <c r="BM48" s="2">
        <v>381</v>
      </c>
      <c r="BN48" s="2">
        <v>295</v>
      </c>
      <c r="BO48" s="2">
        <v>208</v>
      </c>
      <c r="BP48" s="2">
        <v>121</v>
      </c>
      <c r="BQ48" s="2">
        <v>133</v>
      </c>
      <c r="BR48" s="2"/>
    </row>
    <row r="49" spans="1:70" x14ac:dyDescent="0.25">
      <c r="A49" s="4">
        <v>45</v>
      </c>
      <c r="B49" s="5" t="s">
        <v>187</v>
      </c>
      <c r="C49" s="6">
        <v>7.3</v>
      </c>
      <c r="D49" s="6">
        <v>10.7</v>
      </c>
      <c r="E49" s="6">
        <v>14.9</v>
      </c>
      <c r="F49" s="6">
        <v>17.600000000000001</v>
      </c>
      <c r="G49" s="6">
        <v>20.2</v>
      </c>
      <c r="H49" s="6">
        <v>22.5</v>
      </c>
      <c r="I49" s="6">
        <v>23.8</v>
      </c>
      <c r="J49" s="6">
        <v>20.5</v>
      </c>
      <c r="K49" s="6">
        <v>16.399999999999999</v>
      </c>
      <c r="L49" s="6">
        <v>12.3</v>
      </c>
      <c r="M49" s="6">
        <v>8.8000000000000007</v>
      </c>
      <c r="N49" s="6">
        <v>6.3</v>
      </c>
      <c r="O49" s="7">
        <f t="shared" si="0"/>
        <v>15.108333333333336</v>
      </c>
      <c r="Q49" s="6">
        <v>11</v>
      </c>
      <c r="R49" s="6">
        <v>12</v>
      </c>
      <c r="S49" s="6">
        <v>14</v>
      </c>
      <c r="T49" s="6">
        <v>16</v>
      </c>
      <c r="U49" s="6">
        <v>19</v>
      </c>
      <c r="V49" s="6">
        <v>22</v>
      </c>
      <c r="W49" s="6">
        <v>25</v>
      </c>
      <c r="X49" s="6">
        <v>26</v>
      </c>
      <c r="Y49" s="6">
        <v>23</v>
      </c>
      <c r="Z49" s="6">
        <v>20</v>
      </c>
      <c r="AA49" s="6">
        <v>15</v>
      </c>
      <c r="AB49" s="6">
        <v>12</v>
      </c>
      <c r="AC49" s="7">
        <f t="shared" si="1"/>
        <v>17.916666666666668</v>
      </c>
      <c r="AE49" s="5" t="s">
        <v>187</v>
      </c>
      <c r="AF49" s="2">
        <v>10</v>
      </c>
      <c r="AG49" s="2">
        <v>11</v>
      </c>
      <c r="AH49" s="2">
        <v>12</v>
      </c>
      <c r="AI49" s="2">
        <v>14</v>
      </c>
      <c r="AJ49" s="2">
        <v>16</v>
      </c>
      <c r="AK49" s="2">
        <v>18</v>
      </c>
      <c r="AL49" s="2">
        <v>20</v>
      </c>
      <c r="AM49" s="2">
        <v>20</v>
      </c>
      <c r="AN49" s="2">
        <v>19</v>
      </c>
      <c r="AO49" s="2">
        <v>16</v>
      </c>
      <c r="AP49" s="2">
        <v>12</v>
      </c>
      <c r="AQ49" s="2">
        <v>11</v>
      </c>
      <c r="AR49" s="2">
        <v>1</v>
      </c>
      <c r="AU49" s="5" t="s">
        <v>187</v>
      </c>
      <c r="AV49" s="1">
        <v>60</v>
      </c>
      <c r="AW49" s="1">
        <v>41.1</v>
      </c>
      <c r="AX49" s="1" t="s">
        <v>249</v>
      </c>
      <c r="AY49" s="1">
        <v>-7</v>
      </c>
      <c r="BE49" s="5" t="s">
        <v>187</v>
      </c>
      <c r="BF49" s="2">
        <v>102</v>
      </c>
      <c r="BG49" s="2">
        <v>141</v>
      </c>
      <c r="BH49" s="2">
        <v>198</v>
      </c>
      <c r="BI49" s="2">
        <v>213</v>
      </c>
      <c r="BJ49" s="2">
        <v>262</v>
      </c>
      <c r="BK49" s="2">
        <v>359</v>
      </c>
      <c r="BL49" s="2">
        <v>381</v>
      </c>
      <c r="BM49" s="2">
        <v>381</v>
      </c>
      <c r="BN49" s="2">
        <v>295</v>
      </c>
      <c r="BO49" s="2">
        <v>208</v>
      </c>
      <c r="BP49" s="2">
        <v>121</v>
      </c>
      <c r="BQ49" s="2">
        <v>133</v>
      </c>
      <c r="BR49" s="2"/>
    </row>
    <row r="50" spans="1:70" x14ac:dyDescent="0.25">
      <c r="A50" s="4">
        <v>46</v>
      </c>
      <c r="B50" s="5" t="s">
        <v>188</v>
      </c>
      <c r="C50" s="6">
        <v>6.1</v>
      </c>
      <c r="D50" s="6">
        <v>8.8000000000000007</v>
      </c>
      <c r="E50" s="6">
        <v>12.9</v>
      </c>
      <c r="F50" s="6">
        <v>16.7</v>
      </c>
      <c r="G50" s="6">
        <v>18.399999999999999</v>
      </c>
      <c r="H50" s="6">
        <v>20.6</v>
      </c>
      <c r="I50" s="6">
        <v>21.8</v>
      </c>
      <c r="J50" s="6">
        <v>20.7</v>
      </c>
      <c r="K50" s="6">
        <v>16.899999999999999</v>
      </c>
      <c r="L50" s="6">
        <v>11</v>
      </c>
      <c r="M50" s="6">
        <v>7.1</v>
      </c>
      <c r="N50" s="6">
        <v>5.3</v>
      </c>
      <c r="O50" s="7">
        <f t="shared" si="0"/>
        <v>13.858333333333334</v>
      </c>
      <c r="Q50" s="6">
        <v>5</v>
      </c>
      <c r="R50" s="6">
        <v>6</v>
      </c>
      <c r="S50" s="6">
        <v>9</v>
      </c>
      <c r="T50" s="6">
        <v>12</v>
      </c>
      <c r="U50" s="6">
        <v>16</v>
      </c>
      <c r="V50" s="6">
        <v>20</v>
      </c>
      <c r="W50" s="6">
        <v>23</v>
      </c>
      <c r="X50" s="6">
        <v>24</v>
      </c>
      <c r="Y50" s="6">
        <v>19</v>
      </c>
      <c r="Z50" s="6">
        <v>14</v>
      </c>
      <c r="AA50" s="6">
        <v>9</v>
      </c>
      <c r="AB50" s="6">
        <v>6</v>
      </c>
      <c r="AC50" s="7">
        <f t="shared" si="1"/>
        <v>13.583333333333334</v>
      </c>
      <c r="AE50" s="5" t="s">
        <v>188</v>
      </c>
      <c r="AF50" s="2">
        <v>6</v>
      </c>
      <c r="AG50" s="2">
        <v>7</v>
      </c>
      <c r="AH50" s="2">
        <v>8</v>
      </c>
      <c r="AI50" s="2">
        <v>10</v>
      </c>
      <c r="AJ50" s="2">
        <v>12</v>
      </c>
      <c r="AK50" s="2">
        <v>15</v>
      </c>
      <c r="AL50" s="2">
        <v>18</v>
      </c>
      <c r="AM50" s="2">
        <v>17</v>
      </c>
      <c r="AN50" s="2">
        <v>15</v>
      </c>
      <c r="AO50" s="2">
        <v>12</v>
      </c>
      <c r="AP50" s="2">
        <v>8</v>
      </c>
      <c r="AQ50" s="2">
        <v>6</v>
      </c>
      <c r="AR50" s="2">
        <v>995</v>
      </c>
      <c r="AU50" s="5" t="s">
        <v>188</v>
      </c>
      <c r="AV50" s="1">
        <v>915</v>
      </c>
      <c r="AW50" s="1">
        <v>40.4</v>
      </c>
      <c r="AX50" s="1" t="s">
        <v>253</v>
      </c>
      <c r="AY50" s="1">
        <v>-14</v>
      </c>
      <c r="BE50" s="5" t="s">
        <v>188</v>
      </c>
      <c r="BF50" s="2">
        <v>102</v>
      </c>
      <c r="BG50" s="2">
        <v>141</v>
      </c>
      <c r="BH50" s="2">
        <v>198</v>
      </c>
      <c r="BI50" s="2">
        <v>213</v>
      </c>
      <c r="BJ50" s="2">
        <v>262</v>
      </c>
      <c r="BK50" s="2">
        <v>359</v>
      </c>
      <c r="BL50" s="2">
        <v>381</v>
      </c>
      <c r="BM50" s="2">
        <v>381</v>
      </c>
      <c r="BN50" s="2">
        <v>295</v>
      </c>
      <c r="BO50" s="2">
        <v>208</v>
      </c>
      <c r="BP50" s="2">
        <v>121</v>
      </c>
      <c r="BQ50" s="2">
        <v>133</v>
      </c>
      <c r="BR50" s="2"/>
    </row>
    <row r="51" spans="1:70" x14ac:dyDescent="0.25">
      <c r="A51" s="4">
        <v>47</v>
      </c>
      <c r="B51" s="5" t="s">
        <v>189</v>
      </c>
      <c r="C51" s="6">
        <v>6.2</v>
      </c>
      <c r="D51" s="6">
        <v>9.5</v>
      </c>
      <c r="E51" s="6">
        <v>14</v>
      </c>
      <c r="F51" s="6">
        <v>19.3</v>
      </c>
      <c r="G51" s="6">
        <v>21</v>
      </c>
      <c r="H51" s="6">
        <v>24.4</v>
      </c>
      <c r="I51" s="6">
        <v>27.2</v>
      </c>
      <c r="J51" s="6">
        <v>24.5</v>
      </c>
      <c r="K51" s="6">
        <v>18.100000000000001</v>
      </c>
      <c r="L51" s="6">
        <v>11.9</v>
      </c>
      <c r="M51" s="6">
        <v>7.6</v>
      </c>
      <c r="N51" s="6">
        <v>5.6</v>
      </c>
      <c r="O51" s="7">
        <f t="shared" si="0"/>
        <v>15.775</v>
      </c>
      <c r="Q51" s="6">
        <v>8</v>
      </c>
      <c r="R51" s="6">
        <v>9</v>
      </c>
      <c r="S51" s="6">
        <v>13</v>
      </c>
      <c r="T51" s="6">
        <v>15</v>
      </c>
      <c r="U51" s="6">
        <v>19</v>
      </c>
      <c r="V51" s="6">
        <v>24</v>
      </c>
      <c r="W51" s="6">
        <v>28</v>
      </c>
      <c r="X51" s="6">
        <v>27</v>
      </c>
      <c r="Y51" s="6">
        <v>23</v>
      </c>
      <c r="Z51" s="6">
        <v>17</v>
      </c>
      <c r="AA51" s="6">
        <v>12</v>
      </c>
      <c r="AB51" s="6">
        <v>8</v>
      </c>
      <c r="AC51" s="7">
        <f t="shared" si="1"/>
        <v>16.916666666666668</v>
      </c>
      <c r="AE51" s="5" t="s">
        <v>189</v>
      </c>
      <c r="AF51" s="2">
        <v>8</v>
      </c>
      <c r="AG51" s="2">
        <v>9</v>
      </c>
      <c r="AH51" s="2">
        <v>11</v>
      </c>
      <c r="AI51" s="2">
        <v>12</v>
      </c>
      <c r="AJ51" s="2">
        <v>15</v>
      </c>
      <c r="AK51" s="2">
        <v>18</v>
      </c>
      <c r="AL51" s="2">
        <v>21</v>
      </c>
      <c r="AM51" s="2">
        <v>20</v>
      </c>
      <c r="AN51" s="2">
        <v>18</v>
      </c>
      <c r="AO51" s="2">
        <v>14</v>
      </c>
      <c r="AP51" s="2">
        <v>11</v>
      </c>
      <c r="AQ51" s="2">
        <v>8</v>
      </c>
      <c r="AR51" s="2">
        <v>445</v>
      </c>
      <c r="AU51" s="5" t="s">
        <v>189</v>
      </c>
      <c r="AV51" s="1">
        <v>540</v>
      </c>
      <c r="AW51" s="1">
        <v>39.9</v>
      </c>
      <c r="AX51" s="1" t="s">
        <v>263</v>
      </c>
      <c r="AY51" s="1">
        <v>-9</v>
      </c>
      <c r="BE51" s="5" t="s">
        <v>189</v>
      </c>
      <c r="BF51" s="2">
        <v>172</v>
      </c>
      <c r="BG51" s="2">
        <v>177</v>
      </c>
      <c r="BH51" s="2">
        <v>255</v>
      </c>
      <c r="BI51" s="2">
        <v>246</v>
      </c>
      <c r="BJ51" s="2">
        <v>292</v>
      </c>
      <c r="BK51" s="2">
        <v>357</v>
      </c>
      <c r="BL51" s="2">
        <v>366</v>
      </c>
      <c r="BM51" s="2">
        <v>357</v>
      </c>
      <c r="BN51" s="2">
        <v>313</v>
      </c>
      <c r="BO51" s="2">
        <v>219</v>
      </c>
      <c r="BP51" s="2">
        <v>173</v>
      </c>
      <c r="BQ51" s="2">
        <v>136</v>
      </c>
      <c r="BR51" s="2"/>
    </row>
    <row r="52" spans="1:70" x14ac:dyDescent="0.25">
      <c r="A52" s="4">
        <v>48</v>
      </c>
      <c r="B52" s="5" t="s">
        <v>190</v>
      </c>
      <c r="C52" s="6">
        <v>7.6</v>
      </c>
      <c r="D52" s="6">
        <v>10.6</v>
      </c>
      <c r="E52" s="6">
        <v>14.9</v>
      </c>
      <c r="F52" s="6">
        <v>18.100000000000001</v>
      </c>
      <c r="G52" s="6">
        <v>20.6</v>
      </c>
      <c r="H52" s="6">
        <v>22.8</v>
      </c>
      <c r="I52" s="6">
        <v>23.8</v>
      </c>
      <c r="J52" s="6">
        <v>20.7</v>
      </c>
      <c r="K52" s="6">
        <v>16.7</v>
      </c>
      <c r="L52" s="6">
        <v>12</v>
      </c>
      <c r="M52" s="6">
        <v>8.6999999999999993</v>
      </c>
      <c r="N52" s="6">
        <v>6.6</v>
      </c>
      <c r="O52" s="7">
        <f t="shared" si="0"/>
        <v>15.258333333333331</v>
      </c>
      <c r="Q52" s="6">
        <v>12</v>
      </c>
      <c r="R52" s="6">
        <v>13</v>
      </c>
      <c r="S52" s="6">
        <v>15</v>
      </c>
      <c r="T52" s="6">
        <v>17</v>
      </c>
      <c r="U52" s="6">
        <v>20</v>
      </c>
      <c r="V52" s="6">
        <v>23</v>
      </c>
      <c r="W52" s="6">
        <v>26</v>
      </c>
      <c r="X52" s="6">
        <v>27</v>
      </c>
      <c r="Y52" s="6">
        <v>24</v>
      </c>
      <c r="Z52" s="6">
        <v>20</v>
      </c>
      <c r="AA52" s="6">
        <v>16</v>
      </c>
      <c r="AB52" s="6">
        <v>13</v>
      </c>
      <c r="AC52" s="7">
        <f t="shared" si="1"/>
        <v>18.833333333333332</v>
      </c>
      <c r="AE52" s="5" t="s">
        <v>190</v>
      </c>
      <c r="AF52" s="2">
        <v>10</v>
      </c>
      <c r="AG52" s="2">
        <v>11</v>
      </c>
      <c r="AH52" s="2">
        <v>12</v>
      </c>
      <c r="AI52" s="2">
        <v>13</v>
      </c>
      <c r="AJ52" s="2">
        <v>15</v>
      </c>
      <c r="AK52" s="2">
        <v>17</v>
      </c>
      <c r="AL52" s="2">
        <v>19</v>
      </c>
      <c r="AM52" s="2">
        <v>20</v>
      </c>
      <c r="AN52" s="2">
        <v>18</v>
      </c>
      <c r="AO52" s="2">
        <v>16</v>
      </c>
      <c r="AP52" s="2">
        <v>13</v>
      </c>
      <c r="AQ52" s="2">
        <v>11</v>
      </c>
      <c r="AR52" s="2">
        <v>8</v>
      </c>
      <c r="AU52" s="5" t="s">
        <v>190</v>
      </c>
      <c r="AV52" s="1">
        <v>10</v>
      </c>
      <c r="AW52" s="1">
        <v>39.5</v>
      </c>
      <c r="AX52" s="1" t="s">
        <v>247</v>
      </c>
      <c r="AY52" s="1">
        <v>-8</v>
      </c>
      <c r="BE52" s="5" t="s">
        <v>190</v>
      </c>
      <c r="BF52" s="2">
        <v>58</v>
      </c>
      <c r="BG52" s="2">
        <v>177</v>
      </c>
      <c r="BH52" s="2">
        <v>201</v>
      </c>
      <c r="BI52" s="2">
        <v>201</v>
      </c>
      <c r="BJ52" s="2">
        <v>143</v>
      </c>
      <c r="BK52" s="2">
        <v>200</v>
      </c>
      <c r="BL52" s="2">
        <v>271</v>
      </c>
      <c r="BM52" s="2">
        <v>292</v>
      </c>
      <c r="BN52" s="2">
        <v>222</v>
      </c>
      <c r="BO52" s="2">
        <v>98</v>
      </c>
      <c r="BP52" s="2">
        <v>133</v>
      </c>
      <c r="BQ52" s="2">
        <v>129</v>
      </c>
      <c r="BR52" s="2"/>
    </row>
    <row r="53" spans="1:70" x14ac:dyDescent="0.25">
      <c r="A53" s="4">
        <v>49</v>
      </c>
      <c r="B53" s="5" t="s">
        <v>191</v>
      </c>
      <c r="C53" s="6">
        <v>5.5</v>
      </c>
      <c r="D53" s="6">
        <v>8.8000000000000007</v>
      </c>
      <c r="E53" s="6">
        <v>13.9</v>
      </c>
      <c r="F53" s="6">
        <v>17.2</v>
      </c>
      <c r="G53" s="6">
        <v>19.899999999999999</v>
      </c>
      <c r="H53" s="6">
        <v>22.6</v>
      </c>
      <c r="I53" s="6">
        <v>25.1</v>
      </c>
      <c r="J53" s="6">
        <v>23</v>
      </c>
      <c r="K53" s="6">
        <v>18.3</v>
      </c>
      <c r="L53" s="6">
        <v>11.2</v>
      </c>
      <c r="M53" s="6">
        <v>6.9</v>
      </c>
      <c r="N53" s="6">
        <v>4.2</v>
      </c>
      <c r="O53" s="7">
        <f t="shared" si="0"/>
        <v>14.716666666666667</v>
      </c>
      <c r="Q53" s="6">
        <v>4</v>
      </c>
      <c r="R53" s="6">
        <v>6</v>
      </c>
      <c r="S53" s="6">
        <v>9</v>
      </c>
      <c r="T53" s="6">
        <v>12</v>
      </c>
      <c r="U53" s="6">
        <v>17</v>
      </c>
      <c r="V53" s="6">
        <v>21</v>
      </c>
      <c r="W53" s="6">
        <v>24</v>
      </c>
      <c r="X53" s="6">
        <v>23</v>
      </c>
      <c r="Y53" s="6">
        <v>18</v>
      </c>
      <c r="Z53" s="6">
        <v>13</v>
      </c>
      <c r="AA53" s="6">
        <v>8</v>
      </c>
      <c r="AB53" s="6">
        <v>4</v>
      </c>
      <c r="AC53" s="7">
        <f t="shared" si="1"/>
        <v>13.25</v>
      </c>
      <c r="AE53" s="5" t="s">
        <v>191</v>
      </c>
      <c r="AF53" s="2">
        <v>6</v>
      </c>
      <c r="AG53" s="2">
        <v>8</v>
      </c>
      <c r="AH53" s="2">
        <v>9</v>
      </c>
      <c r="AI53" s="2">
        <v>10</v>
      </c>
      <c r="AJ53" s="2">
        <v>12</v>
      </c>
      <c r="AK53" s="2">
        <v>15</v>
      </c>
      <c r="AL53" s="2">
        <v>18</v>
      </c>
      <c r="AM53" s="2">
        <v>18</v>
      </c>
      <c r="AN53" s="2">
        <v>16</v>
      </c>
      <c r="AO53" s="2">
        <v>12</v>
      </c>
      <c r="AP53" s="2">
        <v>9</v>
      </c>
      <c r="AQ53" s="2">
        <v>7</v>
      </c>
      <c r="AR53" s="2">
        <v>704</v>
      </c>
      <c r="AU53" s="5" t="s">
        <v>191</v>
      </c>
      <c r="AV53" s="1">
        <v>694</v>
      </c>
      <c r="AW53" s="1">
        <v>41.7</v>
      </c>
      <c r="AX53" s="1" t="s">
        <v>264</v>
      </c>
      <c r="AY53" s="1">
        <v>-16</v>
      </c>
      <c r="BE53" s="5" t="s">
        <v>191</v>
      </c>
      <c r="BF53" s="2">
        <v>102</v>
      </c>
      <c r="BG53" s="2">
        <v>141</v>
      </c>
      <c r="BH53" s="2">
        <v>198</v>
      </c>
      <c r="BI53" s="2">
        <v>213</v>
      </c>
      <c r="BJ53" s="2">
        <v>262</v>
      </c>
      <c r="BK53" s="2">
        <v>359</v>
      </c>
      <c r="BL53" s="2">
        <v>381</v>
      </c>
      <c r="BM53" s="2">
        <v>381</v>
      </c>
      <c r="BN53" s="2">
        <v>295</v>
      </c>
      <c r="BO53" s="2">
        <v>208</v>
      </c>
      <c r="BP53" s="2">
        <v>121</v>
      </c>
      <c r="BQ53" s="2">
        <v>133</v>
      </c>
      <c r="BR53" s="2"/>
    </row>
    <row r="54" spans="1:70" x14ac:dyDescent="0.25">
      <c r="A54" s="4">
        <v>50</v>
      </c>
      <c r="B54" s="5" t="s">
        <v>192</v>
      </c>
      <c r="C54" s="6">
        <v>5</v>
      </c>
      <c r="D54" s="6">
        <v>7.1</v>
      </c>
      <c r="E54" s="6">
        <v>10.8</v>
      </c>
      <c r="F54" s="6">
        <v>12.7</v>
      </c>
      <c r="G54" s="6">
        <v>15.5</v>
      </c>
      <c r="H54" s="6">
        <v>16.7</v>
      </c>
      <c r="I54" s="6">
        <v>17.899999999999999</v>
      </c>
      <c r="J54" s="6">
        <v>15.7</v>
      </c>
      <c r="K54" s="6">
        <v>13.1</v>
      </c>
      <c r="L54" s="6">
        <v>9.3000000000000007</v>
      </c>
      <c r="M54" s="6">
        <v>6</v>
      </c>
      <c r="N54" s="6">
        <v>4.5999999999999996</v>
      </c>
      <c r="O54" s="7">
        <f t="shared" si="0"/>
        <v>11.199999999999998</v>
      </c>
      <c r="Q54" s="6">
        <v>10</v>
      </c>
      <c r="R54" s="6">
        <v>11</v>
      </c>
      <c r="S54" s="6">
        <v>12</v>
      </c>
      <c r="T54" s="6">
        <v>13</v>
      </c>
      <c r="U54" s="6">
        <v>16</v>
      </c>
      <c r="V54" s="6">
        <v>20</v>
      </c>
      <c r="W54" s="6">
        <v>22</v>
      </c>
      <c r="X54" s="6">
        <v>22</v>
      </c>
      <c r="Y54" s="6">
        <v>20</v>
      </c>
      <c r="Z54" s="6">
        <v>16</v>
      </c>
      <c r="AA54" s="6">
        <v>13</v>
      </c>
      <c r="AB54" s="6">
        <v>10</v>
      </c>
      <c r="AC54" s="7">
        <f t="shared" si="1"/>
        <v>15.416666666666666</v>
      </c>
      <c r="AE54" s="5" t="s">
        <v>192</v>
      </c>
      <c r="AF54" s="2">
        <v>9</v>
      </c>
      <c r="AG54" s="2">
        <v>10</v>
      </c>
      <c r="AH54" s="2">
        <v>10</v>
      </c>
      <c r="AI54" s="2">
        <v>11</v>
      </c>
      <c r="AJ54" s="2">
        <v>13</v>
      </c>
      <c r="AK54" s="2">
        <v>15</v>
      </c>
      <c r="AL54" s="2">
        <v>17</v>
      </c>
      <c r="AM54" s="2">
        <v>17</v>
      </c>
      <c r="AN54" s="2">
        <v>16</v>
      </c>
      <c r="AO54" s="2">
        <v>14</v>
      </c>
      <c r="AP54" s="2">
        <v>11</v>
      </c>
      <c r="AQ54" s="2">
        <v>10</v>
      </c>
      <c r="AR54" s="2">
        <v>214</v>
      </c>
      <c r="AU54" s="5" t="s">
        <v>192</v>
      </c>
      <c r="AV54" s="1">
        <v>32</v>
      </c>
      <c r="AW54" s="1">
        <v>43.3</v>
      </c>
      <c r="AX54" s="1" t="s">
        <v>252</v>
      </c>
      <c r="AY54" s="1">
        <v>-8</v>
      </c>
      <c r="BE54" s="5" t="s">
        <v>192</v>
      </c>
      <c r="BF54" s="2">
        <v>60</v>
      </c>
      <c r="BG54" s="2">
        <v>80</v>
      </c>
      <c r="BH54" s="2">
        <v>61</v>
      </c>
      <c r="BI54" s="2">
        <v>105</v>
      </c>
      <c r="BJ54" s="2">
        <v>177</v>
      </c>
      <c r="BK54" s="2">
        <v>167</v>
      </c>
      <c r="BL54" s="2">
        <v>141</v>
      </c>
      <c r="BM54" s="2">
        <v>216</v>
      </c>
      <c r="BN54" s="2">
        <v>173</v>
      </c>
      <c r="BO54" s="2">
        <v>152</v>
      </c>
      <c r="BP54" s="2">
        <v>95</v>
      </c>
      <c r="BQ54" s="2">
        <v>122</v>
      </c>
      <c r="BR54" s="2"/>
    </row>
    <row r="55" spans="1:70" x14ac:dyDescent="0.25">
      <c r="A55" s="4">
        <v>51</v>
      </c>
      <c r="B55" s="5" t="s">
        <v>193</v>
      </c>
      <c r="C55" s="6">
        <v>5.4</v>
      </c>
      <c r="D55" s="6">
        <v>8.9</v>
      </c>
      <c r="E55" s="6">
        <v>13.2</v>
      </c>
      <c r="F55" s="6">
        <v>17.3</v>
      </c>
      <c r="G55" s="6">
        <v>22.2</v>
      </c>
      <c r="H55" s="6">
        <v>21.6</v>
      </c>
      <c r="I55" s="6">
        <v>23.5</v>
      </c>
      <c r="J55" s="6">
        <v>22</v>
      </c>
      <c r="K55" s="6">
        <v>17.2</v>
      </c>
      <c r="L55" s="6">
        <v>11.1</v>
      </c>
      <c r="M55" s="6">
        <v>6.7</v>
      </c>
      <c r="N55" s="6">
        <v>4.5999999999999996</v>
      </c>
      <c r="O55" s="7">
        <f t="shared" si="0"/>
        <v>14.474999999999996</v>
      </c>
      <c r="Q55" s="6">
        <v>6</v>
      </c>
      <c r="R55" s="6">
        <v>7</v>
      </c>
      <c r="S55" s="6">
        <v>11</v>
      </c>
      <c r="T55" s="6">
        <v>13</v>
      </c>
      <c r="U55" s="6">
        <v>16</v>
      </c>
      <c r="V55" s="6">
        <v>21</v>
      </c>
      <c r="W55" s="6">
        <v>24</v>
      </c>
      <c r="X55" s="6">
        <v>23</v>
      </c>
      <c r="Y55" s="6">
        <v>20</v>
      </c>
      <c r="Z55" s="6">
        <v>15</v>
      </c>
      <c r="AA55" s="6">
        <v>10</v>
      </c>
      <c r="AB55" s="6">
        <v>6</v>
      </c>
      <c r="AC55" s="7">
        <f t="shared" si="1"/>
        <v>14.333333333333334</v>
      </c>
      <c r="AE55" s="5" t="s">
        <v>193</v>
      </c>
      <c r="AF55" s="2">
        <v>6</v>
      </c>
      <c r="AG55" s="2">
        <v>8</v>
      </c>
      <c r="AH55" s="2">
        <v>9</v>
      </c>
      <c r="AI55" s="2">
        <v>10</v>
      </c>
      <c r="AJ55" s="2">
        <v>13</v>
      </c>
      <c r="AK55" s="2">
        <v>16</v>
      </c>
      <c r="AL55" s="2">
        <v>18</v>
      </c>
      <c r="AM55" s="2">
        <v>18</v>
      </c>
      <c r="AN55" s="2">
        <v>16</v>
      </c>
      <c r="AO55" s="2">
        <v>12</v>
      </c>
      <c r="AP55" s="2">
        <v>9</v>
      </c>
      <c r="AQ55" s="2">
        <v>7</v>
      </c>
      <c r="AR55" s="2">
        <v>617</v>
      </c>
      <c r="AU55" s="5" t="s">
        <v>193</v>
      </c>
      <c r="AV55" s="1">
        <v>649</v>
      </c>
      <c r="AW55" s="1">
        <v>41.5</v>
      </c>
      <c r="AX55" s="1" t="s">
        <v>265</v>
      </c>
      <c r="AY55" s="1">
        <v>-14</v>
      </c>
      <c r="BE55" s="5" t="s">
        <v>193</v>
      </c>
      <c r="BF55" s="2">
        <v>102</v>
      </c>
      <c r="BG55" s="2">
        <v>141</v>
      </c>
      <c r="BH55" s="2">
        <v>198</v>
      </c>
      <c r="BI55" s="2">
        <v>213</v>
      </c>
      <c r="BJ55" s="2">
        <v>262</v>
      </c>
      <c r="BK55" s="2">
        <v>359</v>
      </c>
      <c r="BL55" s="2">
        <v>381</v>
      </c>
      <c r="BM55" s="2">
        <v>381</v>
      </c>
      <c r="BN55" s="2">
        <v>295</v>
      </c>
      <c r="BO55" s="2">
        <v>208</v>
      </c>
      <c r="BP55" s="2">
        <v>121</v>
      </c>
      <c r="BQ55" s="2">
        <v>133</v>
      </c>
      <c r="BR55" s="2"/>
    </row>
    <row r="56" spans="1:70" x14ac:dyDescent="0.25">
      <c r="A56" s="4">
        <v>52</v>
      </c>
      <c r="B56" s="5" t="s">
        <v>194</v>
      </c>
      <c r="C56" s="6">
        <v>6.3</v>
      </c>
      <c r="D56" s="6">
        <v>9.8000000000000007</v>
      </c>
      <c r="E56" s="6">
        <v>15.2</v>
      </c>
      <c r="F56" s="6">
        <v>18.3</v>
      </c>
      <c r="G56" s="6">
        <v>21.8</v>
      </c>
      <c r="H56" s="6">
        <v>24.2</v>
      </c>
      <c r="I56" s="6">
        <v>25.1</v>
      </c>
      <c r="J56" s="6">
        <v>23.4</v>
      </c>
      <c r="K56" s="6">
        <v>18.3</v>
      </c>
      <c r="L56" s="6">
        <v>12.1</v>
      </c>
      <c r="M56" s="6">
        <v>7.4</v>
      </c>
      <c r="N56" s="6">
        <v>5.7</v>
      </c>
      <c r="O56" s="7">
        <f t="shared" si="0"/>
        <v>15.633333333333335</v>
      </c>
      <c r="Q56" s="6">
        <v>8</v>
      </c>
      <c r="R56" s="6">
        <v>10</v>
      </c>
      <c r="S56" s="6">
        <v>13</v>
      </c>
      <c r="T56" s="6">
        <v>16</v>
      </c>
      <c r="U56" s="6">
        <v>19</v>
      </c>
      <c r="V56" s="6">
        <v>23</v>
      </c>
      <c r="W56" s="6">
        <v>26</v>
      </c>
      <c r="X56" s="6">
        <v>26</v>
      </c>
      <c r="Y56" s="6">
        <v>23</v>
      </c>
      <c r="Z56" s="6">
        <v>17</v>
      </c>
      <c r="AA56" s="6">
        <v>12</v>
      </c>
      <c r="AB56" s="6">
        <v>9</v>
      </c>
      <c r="AC56" s="7">
        <f t="shared" si="1"/>
        <v>16.833333333333332</v>
      </c>
      <c r="AE56" s="5" t="s">
        <v>194</v>
      </c>
      <c r="AF56" s="2">
        <v>8</v>
      </c>
      <c r="AG56" s="2">
        <v>9</v>
      </c>
      <c r="AH56" s="2">
        <v>10</v>
      </c>
      <c r="AI56" s="2">
        <v>12</v>
      </c>
      <c r="AJ56" s="2">
        <v>15</v>
      </c>
      <c r="AK56" s="2">
        <v>17</v>
      </c>
      <c r="AL56" s="2">
        <v>20</v>
      </c>
      <c r="AM56" s="2">
        <v>19</v>
      </c>
      <c r="AN56" s="2">
        <v>17</v>
      </c>
      <c r="AO56" s="2">
        <v>14</v>
      </c>
      <c r="AP56" s="2">
        <v>10</v>
      </c>
      <c r="AQ56" s="2">
        <v>8</v>
      </c>
      <c r="AR56" s="2">
        <v>207</v>
      </c>
      <c r="AU56" s="5" t="s">
        <v>194</v>
      </c>
      <c r="AV56" s="1">
        <v>200</v>
      </c>
      <c r="AW56" s="1">
        <v>41.7</v>
      </c>
      <c r="AX56" s="1" t="s">
        <v>266</v>
      </c>
      <c r="AY56" s="1">
        <v>-11</v>
      </c>
      <c r="BE56" s="5" t="s">
        <v>194</v>
      </c>
      <c r="BF56" s="2">
        <v>102</v>
      </c>
      <c r="BG56" s="2">
        <v>141</v>
      </c>
      <c r="BH56" s="2">
        <v>198</v>
      </c>
      <c r="BI56" s="2">
        <v>213</v>
      </c>
      <c r="BJ56" s="2">
        <v>262</v>
      </c>
      <c r="BK56" s="2">
        <v>359</v>
      </c>
      <c r="BL56" s="2">
        <v>381</v>
      </c>
      <c r="BM56" s="2">
        <v>381</v>
      </c>
      <c r="BN56" s="2">
        <v>295</v>
      </c>
      <c r="BO56" s="2">
        <v>208</v>
      </c>
      <c r="BP56" s="2">
        <v>121</v>
      </c>
      <c r="BQ56" s="2">
        <v>133</v>
      </c>
      <c r="BR56" s="2"/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F4A5-6443-4371-B80C-45F90AD91215}">
  <dimension ref="A1:N298"/>
  <sheetViews>
    <sheetView workbookViewId="0">
      <selection sqref="A1:XFD1048576"/>
    </sheetView>
  </sheetViews>
  <sheetFormatPr baseColWidth="10" defaultRowHeight="15" x14ac:dyDescent="0.25"/>
  <cols>
    <col min="2" max="2" width="13.28515625" bestFit="1" customWidth="1"/>
  </cols>
  <sheetData>
    <row r="1" spans="1:14" ht="15.75" thickTop="1" x14ac:dyDescent="0.25">
      <c r="A1" s="8" t="s">
        <v>195</v>
      </c>
      <c r="B1" s="8" t="str">
        <f>"_LAT"&amp;EST!G11</f>
        <v>_LAT43</v>
      </c>
      <c r="C1" s="9" t="s">
        <v>196</v>
      </c>
      <c r="D1" s="9" t="s">
        <v>197</v>
      </c>
      <c r="E1" s="9" t="s">
        <v>198</v>
      </c>
      <c r="F1" s="9" t="s">
        <v>199</v>
      </c>
      <c r="G1" s="9" t="s">
        <v>200</v>
      </c>
      <c r="H1" s="9" t="s">
        <v>201</v>
      </c>
      <c r="I1" s="9" t="s">
        <v>202</v>
      </c>
      <c r="J1" s="9" t="s">
        <v>203</v>
      </c>
      <c r="K1" s="9" t="s">
        <v>204</v>
      </c>
      <c r="L1" s="9" t="s">
        <v>205</v>
      </c>
      <c r="M1" s="9" t="s">
        <v>206</v>
      </c>
      <c r="N1" s="10" t="s">
        <v>207</v>
      </c>
    </row>
    <row r="2" spans="1:14" ht="15.75" thickBot="1" x14ac:dyDescent="0.3">
      <c r="A2" s="11"/>
      <c r="B2" s="11" t="s">
        <v>208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5.75" thickTop="1" x14ac:dyDescent="0.25">
      <c r="A3" s="14">
        <v>0</v>
      </c>
      <c r="B3" s="20">
        <v>0</v>
      </c>
      <c r="C3" s="14">
        <f t="shared" ref="C3:N18" ca="1" si="0">INDIRECT((ADDRESS(ROW(INDIRECT($B$1))+$A3, COLUMN())))</f>
        <v>1</v>
      </c>
      <c r="D3" s="14">
        <f t="shared" ca="1" si="0"/>
        <v>1</v>
      </c>
      <c r="E3" s="14">
        <f t="shared" ca="1" si="0"/>
        <v>1</v>
      </c>
      <c r="F3" s="14">
        <f t="shared" ca="1" si="0"/>
        <v>1</v>
      </c>
      <c r="G3" s="14">
        <f t="shared" ca="1" si="0"/>
        <v>1</v>
      </c>
      <c r="H3" s="14">
        <f t="shared" ca="1" si="0"/>
        <v>1</v>
      </c>
      <c r="I3" s="14">
        <f t="shared" ca="1" si="0"/>
        <v>1</v>
      </c>
      <c r="J3" s="14">
        <f t="shared" ca="1" si="0"/>
        <v>1</v>
      </c>
      <c r="K3" s="14">
        <f t="shared" ca="1" si="0"/>
        <v>1</v>
      </c>
      <c r="L3" s="14">
        <f t="shared" ca="1" si="0"/>
        <v>1</v>
      </c>
      <c r="M3" s="14">
        <f t="shared" ca="1" si="0"/>
        <v>1</v>
      </c>
      <c r="N3" s="15">
        <f t="shared" ca="1" si="0"/>
        <v>1</v>
      </c>
    </row>
    <row r="4" spans="1:14" x14ac:dyDescent="0.25">
      <c r="A4" s="16">
        <v>1</v>
      </c>
      <c r="B4" s="21">
        <v>5</v>
      </c>
      <c r="C4" s="16">
        <f t="shared" ca="1" si="0"/>
        <v>1.08</v>
      </c>
      <c r="D4" s="16">
        <f t="shared" ca="1" si="0"/>
        <v>1.07</v>
      </c>
      <c r="E4" s="16">
        <f t="shared" ca="1" si="0"/>
        <v>1.05</v>
      </c>
      <c r="F4" s="16">
        <f t="shared" ca="1" si="0"/>
        <v>1.03</v>
      </c>
      <c r="G4" s="16">
        <f t="shared" ca="1" si="0"/>
        <v>1.02</v>
      </c>
      <c r="H4" s="16">
        <f t="shared" ca="1" si="0"/>
        <v>1.02</v>
      </c>
      <c r="I4" s="16">
        <f t="shared" ca="1" si="0"/>
        <v>1.02</v>
      </c>
      <c r="J4" s="16">
        <f t="shared" ca="1" si="0"/>
        <v>1.04</v>
      </c>
      <c r="K4" s="16">
        <f t="shared" ca="1" si="0"/>
        <v>1.06</v>
      </c>
      <c r="L4" s="16">
        <f t="shared" ca="1" si="0"/>
        <v>1.08</v>
      </c>
      <c r="M4" s="16">
        <f t="shared" ca="1" si="0"/>
        <v>1.1000000000000001</v>
      </c>
      <c r="N4" s="17">
        <f t="shared" ca="1" si="0"/>
        <v>1.0900000000000001</v>
      </c>
    </row>
    <row r="5" spans="1:14" x14ac:dyDescent="0.25">
      <c r="A5" s="16">
        <v>2</v>
      </c>
      <c r="B5" s="21">
        <v>10</v>
      </c>
      <c r="C5" s="16">
        <f t="shared" ca="1" si="0"/>
        <v>1.1499999999999999</v>
      </c>
      <c r="D5" s="16">
        <f t="shared" ca="1" si="0"/>
        <v>1.1200000000000001</v>
      </c>
      <c r="E5" s="16">
        <f t="shared" ca="1" si="0"/>
        <v>1.0900000000000001</v>
      </c>
      <c r="F5" s="16">
        <f t="shared" ca="1" si="0"/>
        <v>1.06</v>
      </c>
      <c r="G5" s="16">
        <f t="shared" ca="1" si="0"/>
        <v>1.02</v>
      </c>
      <c r="H5" s="16">
        <f t="shared" ca="1" si="0"/>
        <v>1.03</v>
      </c>
      <c r="I5" s="16">
        <f t="shared" ca="1" si="0"/>
        <v>1.04</v>
      </c>
      <c r="J5" s="16">
        <f t="shared" ca="1" si="0"/>
        <v>1.07</v>
      </c>
      <c r="K5" s="16">
        <f t="shared" ca="1" si="0"/>
        <v>1.1100000000000001</v>
      </c>
      <c r="L5" s="16">
        <f t="shared" ca="1" si="0"/>
        <v>1.1599999999999999</v>
      </c>
      <c r="M5" s="16">
        <f t="shared" ca="1" si="0"/>
        <v>1.19</v>
      </c>
      <c r="N5" s="17">
        <f t="shared" ca="1" si="0"/>
        <v>1.18</v>
      </c>
    </row>
    <row r="6" spans="1:14" x14ac:dyDescent="0.25">
      <c r="A6" s="16">
        <v>3</v>
      </c>
      <c r="B6" s="21">
        <v>15</v>
      </c>
      <c r="C6" s="16">
        <f t="shared" ca="1" si="0"/>
        <v>1.22</v>
      </c>
      <c r="D6" s="16">
        <f t="shared" ca="1" si="0"/>
        <v>1.18</v>
      </c>
      <c r="E6" s="16">
        <f t="shared" ca="1" si="0"/>
        <v>1.1299999999999999</v>
      </c>
      <c r="F6" s="16">
        <f t="shared" ca="1" si="0"/>
        <v>1.08</v>
      </c>
      <c r="G6" s="16">
        <f t="shared" ca="1" si="0"/>
        <v>1.05</v>
      </c>
      <c r="H6" s="16">
        <f t="shared" ca="1" si="0"/>
        <v>1.03</v>
      </c>
      <c r="I6" s="16">
        <f t="shared" ca="1" si="0"/>
        <v>1.05</v>
      </c>
      <c r="J6" s="16">
        <f t="shared" ca="1" si="0"/>
        <v>1.0900000000000001</v>
      </c>
      <c r="K6" s="16">
        <f t="shared" ca="1" si="0"/>
        <v>1.1499999999999999</v>
      </c>
      <c r="L6" s="16">
        <f t="shared" ca="1" si="0"/>
        <v>1.23</v>
      </c>
      <c r="M6" s="16">
        <f t="shared" ca="1" si="0"/>
        <v>1.27</v>
      </c>
      <c r="N6" s="17">
        <f t="shared" ca="1" si="0"/>
        <v>1.26</v>
      </c>
    </row>
    <row r="7" spans="1:14" x14ac:dyDescent="0.25">
      <c r="A7" s="16">
        <v>4</v>
      </c>
      <c r="B7" s="21">
        <v>20</v>
      </c>
      <c r="C7" s="16">
        <f t="shared" ca="1" si="0"/>
        <v>1.28</v>
      </c>
      <c r="D7" s="16">
        <f t="shared" ca="1" si="0"/>
        <v>1.22</v>
      </c>
      <c r="E7" s="16">
        <f t="shared" ca="1" si="0"/>
        <v>1.1599999999999999</v>
      </c>
      <c r="F7" s="16">
        <f t="shared" ca="1" si="0"/>
        <v>1.0900000000000001</v>
      </c>
      <c r="G7" s="16">
        <f t="shared" ca="1" si="0"/>
        <v>1.05</v>
      </c>
      <c r="H7" s="16">
        <f t="shared" ca="1" si="0"/>
        <v>1.03</v>
      </c>
      <c r="I7" s="16">
        <f t="shared" ca="1" si="0"/>
        <v>1.05</v>
      </c>
      <c r="J7" s="16">
        <f t="shared" ca="1" si="0"/>
        <v>1.1000000000000001</v>
      </c>
      <c r="K7" s="16">
        <f t="shared" ca="1" si="0"/>
        <v>1.19</v>
      </c>
      <c r="L7" s="16">
        <f t="shared" ca="1" si="0"/>
        <v>1.29</v>
      </c>
      <c r="M7" s="16">
        <f t="shared" ca="1" si="0"/>
        <v>1.35</v>
      </c>
      <c r="N7" s="17">
        <f t="shared" ca="1" si="0"/>
        <v>1.33</v>
      </c>
    </row>
    <row r="8" spans="1:14" x14ac:dyDescent="0.25">
      <c r="A8" s="16">
        <v>5</v>
      </c>
      <c r="B8" s="21">
        <v>25</v>
      </c>
      <c r="C8" s="16">
        <f t="shared" ca="1" si="0"/>
        <v>1.33</v>
      </c>
      <c r="D8" s="16">
        <f t="shared" ca="1" si="0"/>
        <v>1.26</v>
      </c>
      <c r="E8" s="16">
        <f t="shared" ca="1" si="0"/>
        <v>1.18</v>
      </c>
      <c r="F8" s="16">
        <f t="shared" ca="1" si="0"/>
        <v>1.1000000000000001</v>
      </c>
      <c r="G8" s="16">
        <f t="shared" ca="1" si="0"/>
        <v>1.04</v>
      </c>
      <c r="H8" s="16">
        <f t="shared" ca="1" si="0"/>
        <v>1.02</v>
      </c>
      <c r="I8" s="16">
        <f t="shared" ca="1" si="0"/>
        <v>1.04</v>
      </c>
      <c r="J8" s="16">
        <f t="shared" ca="1" si="0"/>
        <v>1.1100000000000001</v>
      </c>
      <c r="K8" s="16">
        <f t="shared" ca="1" si="0"/>
        <v>1.22</v>
      </c>
      <c r="L8" s="16">
        <f t="shared" ca="1" si="0"/>
        <v>1.34</v>
      </c>
      <c r="M8" s="16">
        <f t="shared" ca="1" si="0"/>
        <v>1.42</v>
      </c>
      <c r="N8" s="17">
        <f t="shared" ca="1" si="0"/>
        <v>1.4</v>
      </c>
    </row>
    <row r="9" spans="1:14" x14ac:dyDescent="0.25">
      <c r="A9" s="16">
        <v>6</v>
      </c>
      <c r="B9" s="21">
        <v>30</v>
      </c>
      <c r="C9" s="16">
        <f t="shared" ca="1" si="0"/>
        <v>1.37</v>
      </c>
      <c r="D9" s="16">
        <f t="shared" ca="1" si="0"/>
        <v>1.29</v>
      </c>
      <c r="E9" s="16">
        <f t="shared" ca="1" si="0"/>
        <v>1.2</v>
      </c>
      <c r="F9" s="16">
        <f t="shared" ca="1" si="0"/>
        <v>1.1000000000000001</v>
      </c>
      <c r="G9" s="16">
        <f t="shared" ca="1" si="0"/>
        <v>1.03</v>
      </c>
      <c r="H9" s="16">
        <f t="shared" ca="1" si="0"/>
        <v>1</v>
      </c>
      <c r="I9" s="16">
        <f t="shared" ca="1" si="0"/>
        <v>1.03</v>
      </c>
      <c r="J9" s="16">
        <f t="shared" ca="1" si="0"/>
        <v>1.1100000000000001</v>
      </c>
      <c r="K9" s="16">
        <f t="shared" ca="1" si="0"/>
        <v>1.24</v>
      </c>
      <c r="L9" s="16">
        <f t="shared" ca="1" si="0"/>
        <v>1.38</v>
      </c>
      <c r="M9" s="16">
        <f t="shared" ca="1" si="0"/>
        <v>1.48</v>
      </c>
      <c r="N9" s="17">
        <f t="shared" ca="1" si="0"/>
        <v>1.45</v>
      </c>
    </row>
    <row r="10" spans="1:14" x14ac:dyDescent="0.25">
      <c r="A10" s="16">
        <v>7</v>
      </c>
      <c r="B10" s="21">
        <v>35</v>
      </c>
      <c r="C10" s="16">
        <f t="shared" ca="1" si="0"/>
        <v>1.41</v>
      </c>
      <c r="D10" s="16">
        <f t="shared" ca="1" si="0"/>
        <v>1.31</v>
      </c>
      <c r="E10" s="16">
        <f t="shared" ca="1" si="0"/>
        <v>1.2</v>
      </c>
      <c r="F10" s="16">
        <f t="shared" ca="1" si="0"/>
        <v>1.0900000000000001</v>
      </c>
      <c r="G10" s="16">
        <f t="shared" ca="1" si="0"/>
        <v>1.01</v>
      </c>
      <c r="H10" s="16">
        <f t="shared" ca="1" si="0"/>
        <v>0.98</v>
      </c>
      <c r="I10" s="16">
        <f t="shared" ca="1" si="0"/>
        <v>1.01</v>
      </c>
      <c r="J10" s="16">
        <f t="shared" ca="1" si="0"/>
        <v>1.1000000000000001</v>
      </c>
      <c r="K10" s="16">
        <f t="shared" ca="1" si="0"/>
        <v>1.25</v>
      </c>
      <c r="L10" s="16">
        <f t="shared" ca="1" si="0"/>
        <v>1.42</v>
      </c>
      <c r="M10" s="16">
        <f t="shared" ca="1" si="0"/>
        <v>1.52</v>
      </c>
      <c r="N10" s="17">
        <f t="shared" ca="1" si="0"/>
        <v>1.5</v>
      </c>
    </row>
    <row r="11" spans="1:14" x14ac:dyDescent="0.25">
      <c r="A11" s="16">
        <v>8</v>
      </c>
      <c r="B11" s="21">
        <v>40</v>
      </c>
      <c r="C11" s="16">
        <f t="shared" ca="1" si="0"/>
        <v>1.43</v>
      </c>
      <c r="D11" s="16">
        <f t="shared" ca="1" si="0"/>
        <v>1.33</v>
      </c>
      <c r="E11" s="16">
        <f t="shared" ca="1" si="0"/>
        <v>1.2</v>
      </c>
      <c r="F11" s="16">
        <f t="shared" ca="1" si="0"/>
        <v>1.07</v>
      </c>
      <c r="G11" s="16">
        <f t="shared" ca="1" si="0"/>
        <v>0.98</v>
      </c>
      <c r="H11" s="16">
        <f t="shared" ca="1" si="0"/>
        <v>0.95</v>
      </c>
      <c r="I11" s="16">
        <f t="shared" ca="1" si="0"/>
        <v>0.98</v>
      </c>
      <c r="J11" s="16">
        <f t="shared" ca="1" si="0"/>
        <v>1.0900000000000001</v>
      </c>
      <c r="K11" s="16">
        <f t="shared" ca="1" si="0"/>
        <v>1.25</v>
      </c>
      <c r="L11" s="16">
        <f t="shared" ca="1" si="0"/>
        <v>1.44</v>
      </c>
      <c r="M11" s="16">
        <f t="shared" ca="1" si="0"/>
        <v>1.56</v>
      </c>
      <c r="N11" s="17">
        <f t="shared" ca="1" si="0"/>
        <v>1.54</v>
      </c>
    </row>
    <row r="12" spans="1:14" x14ac:dyDescent="0.25">
      <c r="A12" s="16">
        <v>9</v>
      </c>
      <c r="B12" s="21">
        <v>45</v>
      </c>
      <c r="C12" s="16">
        <f t="shared" ca="1" si="0"/>
        <v>1.45</v>
      </c>
      <c r="D12" s="16">
        <f t="shared" ca="1" si="0"/>
        <v>1.33</v>
      </c>
      <c r="E12" s="16">
        <f t="shared" ca="1" si="0"/>
        <v>1.19</v>
      </c>
      <c r="F12" s="16">
        <f t="shared" ca="1" si="0"/>
        <v>1.05</v>
      </c>
      <c r="G12" s="16">
        <f t="shared" ca="1" si="0"/>
        <v>0.95</v>
      </c>
      <c r="H12" s="16">
        <f t="shared" ca="1" si="0"/>
        <v>0.91</v>
      </c>
      <c r="I12" s="16">
        <f t="shared" ca="1" si="0"/>
        <v>0.95</v>
      </c>
      <c r="J12" s="16">
        <f t="shared" ca="1" si="0"/>
        <v>1.06</v>
      </c>
      <c r="K12" s="16">
        <f t="shared" ca="1" si="0"/>
        <v>1.24</v>
      </c>
      <c r="L12" s="16">
        <f t="shared" ca="1" si="0"/>
        <v>1.45</v>
      </c>
      <c r="M12" s="16">
        <f t="shared" ca="1" si="0"/>
        <v>1.59</v>
      </c>
      <c r="N12" s="17">
        <f t="shared" ca="1" si="0"/>
        <v>1.57</v>
      </c>
    </row>
    <row r="13" spans="1:14" x14ac:dyDescent="0.25">
      <c r="A13" s="16">
        <v>10</v>
      </c>
      <c r="B13" s="21">
        <v>50</v>
      </c>
      <c r="C13" s="16">
        <f t="shared" ca="1" si="0"/>
        <v>1.46</v>
      </c>
      <c r="D13" s="16">
        <f t="shared" ca="1" si="0"/>
        <v>1.33</v>
      </c>
      <c r="E13" s="16">
        <f t="shared" ca="1" si="0"/>
        <v>1.17</v>
      </c>
      <c r="F13" s="16">
        <f t="shared" ca="1" si="0"/>
        <v>1.02</v>
      </c>
      <c r="G13" s="16">
        <f t="shared" ca="1" si="0"/>
        <v>0.91</v>
      </c>
      <c r="H13" s="16">
        <f t="shared" ca="1" si="0"/>
        <v>0.87</v>
      </c>
      <c r="I13" s="16">
        <f t="shared" ca="1" si="0"/>
        <v>0.91</v>
      </c>
      <c r="J13" s="16">
        <f t="shared" ca="1" si="0"/>
        <v>1.03</v>
      </c>
      <c r="K13" s="16">
        <f t="shared" ca="1" si="0"/>
        <v>1.23</v>
      </c>
      <c r="L13" s="16">
        <f t="shared" ca="1" si="0"/>
        <v>1.46</v>
      </c>
      <c r="M13" s="16">
        <f t="shared" ca="1" si="0"/>
        <v>1.61</v>
      </c>
      <c r="N13" s="17">
        <f t="shared" ca="1" si="0"/>
        <v>1.58</v>
      </c>
    </row>
    <row r="14" spans="1:14" x14ac:dyDescent="0.25">
      <c r="A14" s="16">
        <v>11</v>
      </c>
      <c r="B14" s="21">
        <v>55</v>
      </c>
      <c r="C14" s="16">
        <f t="shared" ca="1" si="0"/>
        <v>1.46</v>
      </c>
      <c r="D14" s="16">
        <f t="shared" ca="1" si="0"/>
        <v>1.32</v>
      </c>
      <c r="E14" s="16">
        <f t="shared" ca="1" si="0"/>
        <v>1.1499999999999999</v>
      </c>
      <c r="F14" s="16">
        <f t="shared" ca="1" si="0"/>
        <v>0.98</v>
      </c>
      <c r="G14" s="16">
        <f t="shared" ca="1" si="0"/>
        <v>0.86</v>
      </c>
      <c r="H14" s="16">
        <f t="shared" ca="1" si="0"/>
        <v>0.82</v>
      </c>
      <c r="I14" s="16">
        <f t="shared" ca="1" si="0"/>
        <v>0.86</v>
      </c>
      <c r="J14" s="16">
        <f t="shared" ca="1" si="0"/>
        <v>1</v>
      </c>
      <c r="K14" s="16">
        <f t="shared" ca="1" si="0"/>
        <v>1.21</v>
      </c>
      <c r="L14" s="16">
        <f t="shared" ca="1" si="0"/>
        <v>1.45</v>
      </c>
      <c r="M14" s="16">
        <f t="shared" ca="1" si="0"/>
        <v>1.62</v>
      </c>
      <c r="N14" s="17">
        <f t="shared" ca="1" si="0"/>
        <v>1.59</v>
      </c>
    </row>
    <row r="15" spans="1:14" x14ac:dyDescent="0.25">
      <c r="A15" s="16">
        <v>12</v>
      </c>
      <c r="B15" s="21">
        <v>60</v>
      </c>
      <c r="C15" s="16">
        <f t="shared" ca="1" si="0"/>
        <v>1.45</v>
      </c>
      <c r="D15" s="16">
        <f t="shared" ca="1" si="0"/>
        <v>1.3</v>
      </c>
      <c r="E15" s="16">
        <f t="shared" ca="1" si="0"/>
        <v>1.1200000000000001</v>
      </c>
      <c r="F15" s="16">
        <f t="shared" ca="1" si="0"/>
        <v>0.94</v>
      </c>
      <c r="G15" s="16">
        <f t="shared" ca="1" si="0"/>
        <v>0.81</v>
      </c>
      <c r="H15" s="16">
        <f t="shared" ca="1" si="0"/>
        <v>0.76</v>
      </c>
      <c r="I15" s="16">
        <f t="shared" ca="1" si="0"/>
        <v>0.81</v>
      </c>
      <c r="J15" s="16">
        <f t="shared" ca="1" si="0"/>
        <v>0.95</v>
      </c>
      <c r="K15" s="16">
        <f t="shared" ca="1" si="0"/>
        <v>1.17</v>
      </c>
      <c r="L15" s="16">
        <f t="shared" ca="1" si="0"/>
        <v>1.44</v>
      </c>
      <c r="M15" s="16">
        <f t="shared" ca="1" si="0"/>
        <v>1.62</v>
      </c>
      <c r="N15" s="17">
        <f t="shared" ca="1" si="0"/>
        <v>1.59</v>
      </c>
    </row>
    <row r="16" spans="1:14" x14ac:dyDescent="0.25">
      <c r="A16" s="16">
        <v>13</v>
      </c>
      <c r="B16" s="21">
        <v>65</v>
      </c>
      <c r="C16" s="16">
        <f t="shared" ca="1" si="0"/>
        <v>1.43</v>
      </c>
      <c r="D16" s="16">
        <f t="shared" ca="1" si="0"/>
        <v>1.27</v>
      </c>
      <c r="E16" s="16">
        <f t="shared" ca="1" si="0"/>
        <v>1.08</v>
      </c>
      <c r="F16" s="16">
        <f t="shared" ca="1" si="0"/>
        <v>0.89</v>
      </c>
      <c r="G16" s="16">
        <f t="shared" ca="1" si="0"/>
        <v>0.75</v>
      </c>
      <c r="H16" s="16">
        <f t="shared" ca="1" si="0"/>
        <v>0.7</v>
      </c>
      <c r="I16" s="16">
        <f t="shared" ca="1" si="0"/>
        <v>0.75</v>
      </c>
      <c r="J16" s="16">
        <f t="shared" ca="1" si="0"/>
        <v>0.9</v>
      </c>
      <c r="K16" s="16">
        <f t="shared" ca="1" si="0"/>
        <v>1.1299999999999999</v>
      </c>
      <c r="L16" s="16">
        <f t="shared" ca="1" si="0"/>
        <v>1.41</v>
      </c>
      <c r="M16" s="16">
        <f t="shared" ca="1" si="0"/>
        <v>1.61</v>
      </c>
      <c r="N16" s="17">
        <f t="shared" ca="1" si="0"/>
        <v>1.58</v>
      </c>
    </row>
    <row r="17" spans="1:14" x14ac:dyDescent="0.25">
      <c r="A17" s="16">
        <v>14</v>
      </c>
      <c r="B17" s="21">
        <v>70</v>
      </c>
      <c r="C17" s="16">
        <f t="shared" ca="1" si="0"/>
        <v>1.41</v>
      </c>
      <c r="D17" s="16">
        <f t="shared" ca="1" si="0"/>
        <v>1.23</v>
      </c>
      <c r="E17" s="16">
        <f t="shared" ca="1" si="0"/>
        <v>1.03</v>
      </c>
      <c r="F17" s="16">
        <f t="shared" ca="1" si="0"/>
        <v>0.83</v>
      </c>
      <c r="G17" s="16">
        <f t="shared" ca="1" si="0"/>
        <v>0.69</v>
      </c>
      <c r="H17" s="16">
        <f t="shared" ca="1" si="0"/>
        <v>0.64</v>
      </c>
      <c r="I17" s="16">
        <f t="shared" ca="1" si="0"/>
        <v>0.69</v>
      </c>
      <c r="J17" s="16">
        <f t="shared" ca="1" si="0"/>
        <v>0.84</v>
      </c>
      <c r="K17" s="16">
        <f t="shared" ca="1" si="0"/>
        <v>1.0900000000000001</v>
      </c>
      <c r="L17" s="16">
        <f t="shared" ca="1" si="0"/>
        <v>1.38</v>
      </c>
      <c r="M17" s="16">
        <f t="shared" ca="1" si="0"/>
        <v>1.58</v>
      </c>
      <c r="N17" s="17">
        <f t="shared" ca="1" si="0"/>
        <v>1.56</v>
      </c>
    </row>
    <row r="18" spans="1:14" x14ac:dyDescent="0.25">
      <c r="A18" s="16">
        <v>15</v>
      </c>
      <c r="B18" s="21">
        <v>75</v>
      </c>
      <c r="C18" s="16">
        <f t="shared" ca="1" si="0"/>
        <v>1.37</v>
      </c>
      <c r="D18" s="16">
        <f t="shared" ca="1" si="0"/>
        <v>1.19</v>
      </c>
      <c r="E18" s="16">
        <f t="shared" ca="1" si="0"/>
        <v>0.98</v>
      </c>
      <c r="F18" s="16">
        <f t="shared" ca="1" si="0"/>
        <v>0.77</v>
      </c>
      <c r="G18" s="16">
        <f t="shared" ca="1" si="0"/>
        <v>0.62</v>
      </c>
      <c r="H18" s="16">
        <f t="shared" ca="1" si="0"/>
        <v>0.56999999999999995</v>
      </c>
      <c r="I18" s="16">
        <f t="shared" ca="1" si="0"/>
        <v>0.62</v>
      </c>
      <c r="J18" s="16">
        <f t="shared" ca="1" si="0"/>
        <v>0.78</v>
      </c>
      <c r="K18" s="16">
        <f t="shared" ca="1" si="0"/>
        <v>1.03</v>
      </c>
      <c r="L18" s="16">
        <f t="shared" ca="1" si="0"/>
        <v>1.34</v>
      </c>
      <c r="M18" s="16">
        <f t="shared" ca="1" si="0"/>
        <v>1.55</v>
      </c>
      <c r="N18" s="17">
        <f t="shared" ca="1" si="0"/>
        <v>1.53</v>
      </c>
    </row>
    <row r="19" spans="1:14" x14ac:dyDescent="0.25">
      <c r="A19" s="16">
        <v>16</v>
      </c>
      <c r="B19" s="21">
        <v>80</v>
      </c>
      <c r="C19" s="16">
        <f t="shared" ref="C19:N21" ca="1" si="1">INDIRECT((ADDRESS(ROW(INDIRECT($B$1))+$A19, COLUMN())))</f>
        <v>1.33</v>
      </c>
      <c r="D19" s="16">
        <f t="shared" ca="1" si="1"/>
        <v>1.1399999999999999</v>
      </c>
      <c r="E19" s="16">
        <f t="shared" ca="1" si="1"/>
        <v>0.92</v>
      </c>
      <c r="F19" s="16">
        <f t="shared" ca="1" si="1"/>
        <v>0.7</v>
      </c>
      <c r="G19" s="16">
        <f t="shared" ca="1" si="1"/>
        <v>0.55000000000000004</v>
      </c>
      <c r="H19" s="16">
        <f t="shared" ca="1" si="1"/>
        <v>0.49</v>
      </c>
      <c r="I19" s="16">
        <f t="shared" ca="1" si="1"/>
        <v>0.55000000000000004</v>
      </c>
      <c r="J19" s="16">
        <f t="shared" ca="1" si="1"/>
        <v>0.71</v>
      </c>
      <c r="K19" s="16">
        <f t="shared" ca="1" si="1"/>
        <v>0.97</v>
      </c>
      <c r="L19" s="16">
        <f t="shared" ca="1" si="1"/>
        <v>1.28</v>
      </c>
      <c r="M19" s="16">
        <f t="shared" ca="1" si="1"/>
        <v>1.51</v>
      </c>
      <c r="N19" s="17">
        <f t="shared" ca="1" si="1"/>
        <v>1.49</v>
      </c>
    </row>
    <row r="20" spans="1:14" x14ac:dyDescent="0.25">
      <c r="A20" s="16">
        <v>17</v>
      </c>
      <c r="B20" s="21">
        <v>85</v>
      </c>
      <c r="C20" s="16">
        <f t="shared" ca="1" si="1"/>
        <v>1.28</v>
      </c>
      <c r="D20" s="16">
        <f t="shared" ca="1" si="1"/>
        <v>1.08</v>
      </c>
      <c r="E20" s="16">
        <f t="shared" ca="1" si="1"/>
        <v>0.85</v>
      </c>
      <c r="F20" s="16">
        <f t="shared" ca="1" si="1"/>
        <v>0.63</v>
      </c>
      <c r="G20" s="16">
        <f t="shared" ca="1" si="1"/>
        <v>0.47</v>
      </c>
      <c r="H20" s="16">
        <f t="shared" ca="1" si="1"/>
        <v>0.42</v>
      </c>
      <c r="I20" s="16">
        <f t="shared" ca="1" si="1"/>
        <v>0.47</v>
      </c>
      <c r="J20" s="16">
        <f t="shared" ca="1" si="1"/>
        <v>0.64</v>
      </c>
      <c r="K20" s="16">
        <f t="shared" ca="1" si="1"/>
        <v>0.9</v>
      </c>
      <c r="L20" s="16">
        <f t="shared" ca="1" si="1"/>
        <v>1.22</v>
      </c>
      <c r="M20" s="16">
        <f t="shared" ca="1" si="1"/>
        <v>1.45</v>
      </c>
      <c r="N20" s="17">
        <f t="shared" ca="1" si="1"/>
        <v>1.44</v>
      </c>
    </row>
    <row r="21" spans="1:14" ht="15.75" thickBot="1" x14ac:dyDescent="0.3">
      <c r="A21" s="18">
        <v>18</v>
      </c>
      <c r="B21" s="22">
        <v>90</v>
      </c>
      <c r="C21" s="18">
        <f t="shared" ca="1" si="1"/>
        <v>1.22</v>
      </c>
      <c r="D21" s="18">
        <f t="shared" ca="1" si="1"/>
        <v>1.02</v>
      </c>
      <c r="E21" s="18">
        <f t="shared" ca="1" si="1"/>
        <v>0.78</v>
      </c>
      <c r="F21" s="18">
        <f t="shared" ca="1" si="1"/>
        <v>0.56000000000000005</v>
      </c>
      <c r="G21" s="18">
        <f t="shared" ca="1" si="1"/>
        <v>0.4</v>
      </c>
      <c r="H21" s="18">
        <f t="shared" ca="1" si="1"/>
        <v>0.34</v>
      </c>
      <c r="I21" s="18">
        <f t="shared" ca="1" si="1"/>
        <v>0.39</v>
      </c>
      <c r="J21" s="18">
        <f t="shared" ca="1" si="1"/>
        <v>0.56000000000000005</v>
      </c>
      <c r="K21" s="18">
        <f t="shared" ca="1" si="1"/>
        <v>0.83</v>
      </c>
      <c r="L21" s="18">
        <f t="shared" ca="1" si="1"/>
        <v>1.1599999999999999</v>
      </c>
      <c r="M21" s="18">
        <f t="shared" ca="1" si="1"/>
        <v>1.39</v>
      </c>
      <c r="N21" s="19">
        <f t="shared" ca="1" si="1"/>
        <v>1.38</v>
      </c>
    </row>
    <row r="22" spans="1:14" ht="15.75" thickTop="1" x14ac:dyDescent="0.25"/>
    <row r="23" spans="1:14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thickTop="1" x14ac:dyDescent="0.25">
      <c r="A24" s="2"/>
      <c r="B24" s="8" t="s">
        <v>209</v>
      </c>
      <c r="C24" s="9" t="s">
        <v>196</v>
      </c>
      <c r="D24" s="9" t="s">
        <v>197</v>
      </c>
      <c r="E24" s="9" t="s">
        <v>198</v>
      </c>
      <c r="F24" s="9" t="s">
        <v>199</v>
      </c>
      <c r="G24" s="9" t="s">
        <v>200</v>
      </c>
      <c r="H24" s="9" t="s">
        <v>201</v>
      </c>
      <c r="I24" s="9" t="s">
        <v>202</v>
      </c>
      <c r="J24" s="9" t="s">
        <v>203</v>
      </c>
      <c r="K24" s="9" t="s">
        <v>204</v>
      </c>
      <c r="L24" s="9" t="s">
        <v>205</v>
      </c>
      <c r="M24" s="9" t="s">
        <v>206</v>
      </c>
      <c r="N24" s="10" t="s">
        <v>207</v>
      </c>
    </row>
    <row r="25" spans="1:14" ht="15.75" thickBot="1" x14ac:dyDescent="0.3">
      <c r="A25" s="2"/>
      <c r="B25" s="11" t="s">
        <v>208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thickTop="1" x14ac:dyDescent="0.25">
      <c r="A26" s="2"/>
      <c r="B26" s="20">
        <v>0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5">
        <v>1</v>
      </c>
    </row>
    <row r="27" spans="1:14" x14ac:dyDescent="0.25">
      <c r="A27" s="2"/>
      <c r="B27" s="21">
        <v>5</v>
      </c>
      <c r="C27" s="16">
        <v>1.05</v>
      </c>
      <c r="D27" s="16">
        <v>1.04</v>
      </c>
      <c r="E27" s="16">
        <v>1.03</v>
      </c>
      <c r="F27" s="16">
        <v>1.01</v>
      </c>
      <c r="G27" s="16">
        <v>1</v>
      </c>
      <c r="H27" s="16">
        <v>1</v>
      </c>
      <c r="I27" s="16">
        <v>1</v>
      </c>
      <c r="J27" s="16">
        <v>1.02</v>
      </c>
      <c r="K27" s="16">
        <v>1.03</v>
      </c>
      <c r="L27" s="16">
        <v>1.05</v>
      </c>
      <c r="M27" s="16">
        <v>1.06</v>
      </c>
      <c r="N27" s="17">
        <v>1.06</v>
      </c>
    </row>
    <row r="28" spans="1:14" x14ac:dyDescent="0.25">
      <c r="A28" s="2"/>
      <c r="B28" s="21">
        <v>10</v>
      </c>
      <c r="C28" s="16">
        <v>1.05</v>
      </c>
      <c r="D28" s="16">
        <v>1.08</v>
      </c>
      <c r="E28" s="16">
        <v>1.05</v>
      </c>
      <c r="F28" s="16">
        <v>1.02</v>
      </c>
      <c r="G28" s="16">
        <v>1</v>
      </c>
      <c r="H28" s="16">
        <v>0.99</v>
      </c>
      <c r="I28" s="16">
        <v>1</v>
      </c>
      <c r="J28" s="16">
        <v>1.02</v>
      </c>
      <c r="K28" s="16">
        <v>1.06</v>
      </c>
      <c r="L28" s="16">
        <v>1.1000000000000001</v>
      </c>
      <c r="M28" s="16">
        <v>1.1200000000000001</v>
      </c>
      <c r="N28" s="17">
        <v>1.1200000000000001</v>
      </c>
    </row>
    <row r="29" spans="1:14" x14ac:dyDescent="0.25">
      <c r="A29" s="2"/>
      <c r="B29" s="21">
        <v>15</v>
      </c>
      <c r="C29" s="16">
        <v>1.1000000000000001</v>
      </c>
      <c r="D29" s="16">
        <v>1.1100000000000001</v>
      </c>
      <c r="E29" s="16">
        <v>1.07</v>
      </c>
      <c r="F29" s="16">
        <v>1.02</v>
      </c>
      <c r="G29" s="16">
        <v>0.99</v>
      </c>
      <c r="H29" s="16">
        <v>0.98</v>
      </c>
      <c r="I29" s="16">
        <v>0.99</v>
      </c>
      <c r="J29" s="16">
        <v>1.03</v>
      </c>
      <c r="K29" s="16">
        <v>1.08</v>
      </c>
      <c r="L29" s="16">
        <v>1.1299999999999999</v>
      </c>
      <c r="M29" s="16">
        <v>1.17</v>
      </c>
      <c r="N29" s="17">
        <v>1.17</v>
      </c>
    </row>
    <row r="30" spans="1:14" x14ac:dyDescent="0.25">
      <c r="A30" s="2"/>
      <c r="B30" s="21">
        <v>20</v>
      </c>
      <c r="C30" s="16">
        <v>1.1399999999999999</v>
      </c>
      <c r="D30" s="16">
        <v>1.1299999999999999</v>
      </c>
      <c r="E30" s="16">
        <v>1.08</v>
      </c>
      <c r="F30" s="16">
        <v>1.02</v>
      </c>
      <c r="G30" s="16">
        <v>0.97</v>
      </c>
      <c r="H30" s="16">
        <v>0.95</v>
      </c>
      <c r="I30" s="16">
        <v>0.97</v>
      </c>
      <c r="J30" s="16">
        <v>1.01</v>
      </c>
      <c r="K30" s="16">
        <v>1.0900000000000001</v>
      </c>
      <c r="L30" s="16">
        <v>1.1599999999999999</v>
      </c>
      <c r="M30" s="16">
        <v>1.21</v>
      </c>
      <c r="N30" s="17">
        <v>1.21</v>
      </c>
    </row>
    <row r="31" spans="1:14" x14ac:dyDescent="0.25">
      <c r="A31" s="2"/>
      <c r="B31" s="21">
        <v>25</v>
      </c>
      <c r="C31" s="16">
        <v>1.17</v>
      </c>
      <c r="D31" s="16">
        <v>1.1499999999999999</v>
      </c>
      <c r="E31" s="16">
        <v>1.08</v>
      </c>
      <c r="F31" s="16">
        <v>1</v>
      </c>
      <c r="G31" s="16">
        <v>0.95</v>
      </c>
      <c r="H31" s="16">
        <v>0.93</v>
      </c>
      <c r="I31" s="16">
        <v>0.95</v>
      </c>
      <c r="J31" s="16">
        <v>0.99</v>
      </c>
      <c r="K31" s="16">
        <v>1.0900000000000001</v>
      </c>
      <c r="L31" s="16">
        <v>1.19</v>
      </c>
      <c r="M31" s="16">
        <v>1.25</v>
      </c>
      <c r="N31" s="17">
        <v>1.24</v>
      </c>
    </row>
    <row r="32" spans="1:14" x14ac:dyDescent="0.25">
      <c r="A32" s="2"/>
      <c r="B32" s="21">
        <v>30</v>
      </c>
      <c r="C32" s="16">
        <v>1.2</v>
      </c>
      <c r="D32" s="16">
        <v>1.1499999999999999</v>
      </c>
      <c r="E32" s="16">
        <v>1.07</v>
      </c>
      <c r="F32" s="16">
        <v>0.98</v>
      </c>
      <c r="G32" s="16">
        <v>0.92</v>
      </c>
      <c r="H32" s="16">
        <v>0.89</v>
      </c>
      <c r="I32" s="16">
        <v>0.92</v>
      </c>
      <c r="J32" s="16">
        <v>0.96</v>
      </c>
      <c r="K32" s="16">
        <v>1.0900000000000001</v>
      </c>
      <c r="L32" s="16">
        <v>1.2</v>
      </c>
      <c r="M32" s="16">
        <v>1.27</v>
      </c>
      <c r="N32" s="17">
        <v>1.27</v>
      </c>
    </row>
    <row r="33" spans="1:14" x14ac:dyDescent="0.25">
      <c r="A33" s="2"/>
      <c r="B33" s="21">
        <v>35</v>
      </c>
      <c r="C33" s="16">
        <v>1.22</v>
      </c>
      <c r="D33" s="16">
        <v>1.1599999999999999</v>
      </c>
      <c r="E33" s="16">
        <v>1.06</v>
      </c>
      <c r="F33" s="16">
        <v>0.96</v>
      </c>
      <c r="G33" s="16">
        <v>0.88</v>
      </c>
      <c r="H33" s="16">
        <v>0.85</v>
      </c>
      <c r="I33" s="16">
        <v>0.88</v>
      </c>
      <c r="J33" s="16">
        <v>0.93</v>
      </c>
      <c r="K33" s="16">
        <v>1.08</v>
      </c>
      <c r="L33" s="16">
        <v>1.21</v>
      </c>
      <c r="M33" s="16">
        <v>1.29</v>
      </c>
      <c r="N33" s="17">
        <v>1.29</v>
      </c>
    </row>
    <row r="34" spans="1:14" x14ac:dyDescent="0.25">
      <c r="A34" s="2"/>
      <c r="B34" s="21">
        <v>40</v>
      </c>
      <c r="C34" s="16">
        <v>1.23</v>
      </c>
      <c r="D34" s="16">
        <v>1.1499999999999999</v>
      </c>
      <c r="E34" s="16">
        <v>1.04</v>
      </c>
      <c r="F34" s="16">
        <v>0.92</v>
      </c>
      <c r="G34" s="16">
        <v>0.84</v>
      </c>
      <c r="H34" s="16">
        <v>0.8</v>
      </c>
      <c r="I34" s="16">
        <v>0.84</v>
      </c>
      <c r="J34" s="16">
        <v>0.89</v>
      </c>
      <c r="K34" s="16">
        <v>1.06</v>
      </c>
      <c r="L34" s="16">
        <v>1.21</v>
      </c>
      <c r="M34" s="16">
        <v>1.3</v>
      </c>
      <c r="N34" s="17">
        <v>1.3</v>
      </c>
    </row>
    <row r="35" spans="1:14" x14ac:dyDescent="0.25">
      <c r="A35" s="2"/>
      <c r="B35" s="21">
        <v>45</v>
      </c>
      <c r="C35" s="16">
        <v>1.24</v>
      </c>
      <c r="D35" s="16">
        <v>1.1399999999999999</v>
      </c>
      <c r="E35" s="16">
        <v>1.01</v>
      </c>
      <c r="F35" s="16">
        <v>0.89</v>
      </c>
      <c r="G35" s="16">
        <v>0.79</v>
      </c>
      <c r="H35" s="16">
        <v>0.75</v>
      </c>
      <c r="I35" s="16">
        <v>0.79</v>
      </c>
      <c r="J35" s="16">
        <v>0.84</v>
      </c>
      <c r="K35" s="16">
        <v>1.04</v>
      </c>
      <c r="L35" s="16">
        <v>1.2</v>
      </c>
      <c r="M35" s="16">
        <v>1.3</v>
      </c>
      <c r="N35" s="17">
        <v>1.3</v>
      </c>
    </row>
    <row r="36" spans="1:14" x14ac:dyDescent="0.25">
      <c r="A36" s="2"/>
      <c r="B36" s="21">
        <v>50</v>
      </c>
      <c r="C36" s="16">
        <v>1.23</v>
      </c>
      <c r="D36" s="16">
        <v>1.1200000000000001</v>
      </c>
      <c r="E36" s="16">
        <v>0.98</v>
      </c>
      <c r="F36" s="16">
        <v>0.84</v>
      </c>
      <c r="G36" s="16">
        <v>0.73</v>
      </c>
      <c r="H36" s="16">
        <v>0.69</v>
      </c>
      <c r="I36" s="16">
        <v>0.73</v>
      </c>
      <c r="J36" s="16">
        <v>0.73</v>
      </c>
      <c r="K36" s="16">
        <v>1</v>
      </c>
      <c r="L36" s="16">
        <v>1.18</v>
      </c>
      <c r="M36" s="16">
        <v>1.3</v>
      </c>
      <c r="N36" s="17">
        <v>1.3</v>
      </c>
    </row>
    <row r="37" spans="1:14" x14ac:dyDescent="0.25">
      <c r="A37" s="2"/>
      <c r="B37" s="21">
        <v>55</v>
      </c>
      <c r="C37" s="16">
        <v>1.22</v>
      </c>
      <c r="D37" s="16">
        <v>1.0900000000000001</v>
      </c>
      <c r="E37" s="16">
        <v>0.94</v>
      </c>
      <c r="F37" s="16">
        <v>0.79</v>
      </c>
      <c r="G37" s="16">
        <v>0.68</v>
      </c>
      <c r="H37" s="16">
        <v>0.63</v>
      </c>
      <c r="I37" s="16">
        <v>0.73</v>
      </c>
      <c r="J37" s="16">
        <v>0.67</v>
      </c>
      <c r="K37" s="16">
        <v>0.96</v>
      </c>
      <c r="L37" s="16">
        <v>1.1499999999999999</v>
      </c>
      <c r="M37" s="16">
        <v>1.28</v>
      </c>
      <c r="N37" s="17">
        <v>1.28</v>
      </c>
    </row>
    <row r="38" spans="1:14" x14ac:dyDescent="0.25">
      <c r="A38" s="2"/>
      <c r="B38" s="21">
        <v>60</v>
      </c>
      <c r="C38" s="16">
        <v>1.2</v>
      </c>
      <c r="D38" s="16">
        <v>1.05</v>
      </c>
      <c r="E38" s="16">
        <v>0.9</v>
      </c>
      <c r="F38" s="16">
        <v>0.73</v>
      </c>
      <c r="G38" s="16">
        <v>0.61</v>
      </c>
      <c r="H38" s="16">
        <v>0.56999999999999995</v>
      </c>
      <c r="I38" s="16">
        <v>0.67</v>
      </c>
      <c r="J38" s="16">
        <v>0.61</v>
      </c>
      <c r="K38" s="16">
        <v>0.92</v>
      </c>
      <c r="L38" s="16">
        <v>1.1200000000000001</v>
      </c>
      <c r="M38" s="16">
        <v>1.26</v>
      </c>
      <c r="N38" s="17">
        <v>1.26</v>
      </c>
    </row>
    <row r="39" spans="1:14" x14ac:dyDescent="0.25">
      <c r="A39" s="2"/>
      <c r="B39" s="21">
        <v>65</v>
      </c>
      <c r="C39" s="16">
        <v>1.18</v>
      </c>
      <c r="D39" s="16">
        <v>1.01</v>
      </c>
      <c r="E39" s="16">
        <v>0.85</v>
      </c>
      <c r="F39" s="16">
        <v>0.67</v>
      </c>
      <c r="G39" s="16">
        <v>0.55000000000000004</v>
      </c>
      <c r="H39" s="16">
        <v>0.5</v>
      </c>
      <c r="I39" s="16">
        <v>0.61</v>
      </c>
      <c r="J39" s="16">
        <v>0.54</v>
      </c>
      <c r="K39" s="16">
        <v>0.86</v>
      </c>
      <c r="L39" s="16">
        <v>1.08</v>
      </c>
      <c r="M39" s="16">
        <v>1.22</v>
      </c>
      <c r="N39" s="17">
        <v>1.23</v>
      </c>
    </row>
    <row r="40" spans="1:14" x14ac:dyDescent="0.25">
      <c r="A40" s="2"/>
      <c r="B40" s="21">
        <v>70</v>
      </c>
      <c r="C40" s="16">
        <v>1.1399999999999999</v>
      </c>
      <c r="D40" s="16">
        <v>0.97</v>
      </c>
      <c r="E40" s="16">
        <v>0.79</v>
      </c>
      <c r="F40" s="16">
        <v>0.61</v>
      </c>
      <c r="G40" s="16">
        <v>0.48</v>
      </c>
      <c r="H40" s="16">
        <v>0.42</v>
      </c>
      <c r="I40" s="16">
        <v>0.54</v>
      </c>
      <c r="J40" s="16">
        <v>0.47</v>
      </c>
      <c r="K40" s="16">
        <v>0.81</v>
      </c>
      <c r="L40" s="16">
        <v>1.03</v>
      </c>
      <c r="M40" s="16">
        <v>1.18</v>
      </c>
      <c r="N40" s="17">
        <v>1.19</v>
      </c>
    </row>
    <row r="41" spans="1:14" x14ac:dyDescent="0.25">
      <c r="A41" s="2"/>
      <c r="B41" s="21">
        <v>75</v>
      </c>
      <c r="C41" s="16">
        <v>1.1000000000000001</v>
      </c>
      <c r="D41" s="16">
        <v>0.91</v>
      </c>
      <c r="E41" s="16">
        <v>0.73</v>
      </c>
      <c r="F41" s="16">
        <v>0.54</v>
      </c>
      <c r="G41" s="16">
        <v>0.4</v>
      </c>
      <c r="H41" s="16">
        <v>0.35</v>
      </c>
      <c r="I41" s="16">
        <v>0.47</v>
      </c>
      <c r="J41" s="16">
        <v>0.39</v>
      </c>
      <c r="K41" s="16">
        <v>0.74</v>
      </c>
      <c r="L41" s="16">
        <v>0.97</v>
      </c>
      <c r="M41" s="16">
        <v>1.1399999999999999</v>
      </c>
      <c r="N41" s="17">
        <v>1.1499999999999999</v>
      </c>
    </row>
    <row r="42" spans="1:14" x14ac:dyDescent="0.25">
      <c r="A42" s="2"/>
      <c r="B42" s="21">
        <v>80</v>
      </c>
      <c r="C42" s="16">
        <v>1.06</v>
      </c>
      <c r="D42" s="16">
        <v>0.86</v>
      </c>
      <c r="E42" s="16">
        <v>0.66</v>
      </c>
      <c r="F42" s="16">
        <v>0.47</v>
      </c>
      <c r="G42" s="16">
        <v>0.33</v>
      </c>
      <c r="H42" s="16">
        <v>0.27</v>
      </c>
      <c r="I42" s="16">
        <v>0.39</v>
      </c>
      <c r="J42" s="16">
        <v>0.32</v>
      </c>
      <c r="K42" s="16">
        <v>0.67</v>
      </c>
      <c r="L42" s="16">
        <v>0.91</v>
      </c>
      <c r="M42" s="16">
        <v>1.08</v>
      </c>
      <c r="N42" s="17">
        <v>1.1000000000000001</v>
      </c>
    </row>
    <row r="43" spans="1:14" x14ac:dyDescent="0.25">
      <c r="A43" s="2"/>
      <c r="B43" s="21">
        <v>85</v>
      </c>
      <c r="C43" s="16">
        <v>1</v>
      </c>
      <c r="D43" s="16">
        <v>0.79</v>
      </c>
      <c r="E43" s="16">
        <v>0.59</v>
      </c>
      <c r="F43" s="16">
        <v>0.39</v>
      </c>
      <c r="G43" s="16">
        <v>0.25</v>
      </c>
      <c r="H43" s="16">
        <v>0.19</v>
      </c>
      <c r="I43" s="16">
        <v>0.32</v>
      </c>
      <c r="J43" s="16">
        <v>0.24</v>
      </c>
      <c r="K43" s="16">
        <v>0.6</v>
      </c>
      <c r="L43" s="16">
        <v>0.84</v>
      </c>
      <c r="M43" s="16">
        <v>1.02</v>
      </c>
      <c r="N43" s="17">
        <v>1.04</v>
      </c>
    </row>
    <row r="44" spans="1:14" ht="15.75" thickBot="1" x14ac:dyDescent="0.3">
      <c r="A44" s="2"/>
      <c r="B44" s="22">
        <v>90</v>
      </c>
      <c r="C44" s="18">
        <v>0.94</v>
      </c>
      <c r="D44" s="18">
        <v>0.72</v>
      </c>
      <c r="E44" s="18">
        <v>0.52</v>
      </c>
      <c r="F44" s="18">
        <v>0.32</v>
      </c>
      <c r="G44" s="18">
        <v>0.17</v>
      </c>
      <c r="H44" s="18">
        <v>0.11</v>
      </c>
      <c r="I44" s="18">
        <v>0.24</v>
      </c>
      <c r="J44" s="18">
        <v>0.16</v>
      </c>
      <c r="K44" s="18">
        <v>0.53</v>
      </c>
      <c r="L44" s="18">
        <v>0.77</v>
      </c>
      <c r="M44" s="18">
        <v>0.95</v>
      </c>
      <c r="N44" s="19">
        <v>0.98</v>
      </c>
    </row>
    <row r="45" spans="1:14" ht="15.75" thickTop="1" x14ac:dyDescent="0.25">
      <c r="A45" s="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thickBot="1" x14ac:dyDescent="0.3">
      <c r="A46" s="2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.75" thickTop="1" x14ac:dyDescent="0.25">
      <c r="A47" s="2"/>
      <c r="B47" s="27" t="s">
        <v>210</v>
      </c>
      <c r="C47" s="28" t="s">
        <v>196</v>
      </c>
      <c r="D47" s="28" t="s">
        <v>197</v>
      </c>
      <c r="E47" s="28" t="s">
        <v>198</v>
      </c>
      <c r="F47" s="28" t="s">
        <v>199</v>
      </c>
      <c r="G47" s="28" t="s">
        <v>200</v>
      </c>
      <c r="H47" s="28" t="s">
        <v>201</v>
      </c>
      <c r="I47" s="28" t="s">
        <v>202</v>
      </c>
      <c r="J47" s="28" t="s">
        <v>203</v>
      </c>
      <c r="K47" s="28" t="s">
        <v>204</v>
      </c>
      <c r="L47" s="28" t="s">
        <v>205</v>
      </c>
      <c r="M47" s="28" t="s">
        <v>206</v>
      </c>
      <c r="N47" s="29" t="s">
        <v>207</v>
      </c>
    </row>
    <row r="48" spans="1:14" ht="15.75" thickBot="1" x14ac:dyDescent="0.3">
      <c r="A48" s="2"/>
      <c r="B48" s="11" t="s">
        <v>208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</row>
    <row r="49" spans="1:14" ht="15.75" thickTop="1" x14ac:dyDescent="0.25">
      <c r="A49" s="2"/>
      <c r="B49" s="20">
        <v>0</v>
      </c>
      <c r="C49" s="14">
        <v>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5">
        <v>1</v>
      </c>
    </row>
    <row r="50" spans="1:14" x14ac:dyDescent="0.25">
      <c r="A50" s="2"/>
      <c r="B50" s="21">
        <v>5</v>
      </c>
      <c r="C50" s="16">
        <v>1.05</v>
      </c>
      <c r="D50" s="16">
        <v>1.04</v>
      </c>
      <c r="E50" s="16">
        <v>1.03</v>
      </c>
      <c r="F50" s="16">
        <v>1.02</v>
      </c>
      <c r="G50" s="16">
        <v>1</v>
      </c>
      <c r="H50" s="16">
        <v>1</v>
      </c>
      <c r="I50" s="16">
        <v>1</v>
      </c>
      <c r="J50" s="16">
        <v>1.02</v>
      </c>
      <c r="K50" s="16">
        <v>1.03</v>
      </c>
      <c r="L50" s="16">
        <v>1.05</v>
      </c>
      <c r="M50" s="16">
        <v>1.07</v>
      </c>
      <c r="N50" s="17">
        <v>1.06</v>
      </c>
    </row>
    <row r="51" spans="1:14" x14ac:dyDescent="0.25">
      <c r="A51" s="2"/>
      <c r="B51" s="21">
        <v>10</v>
      </c>
      <c r="C51" s="16">
        <v>1.1000000000000001</v>
      </c>
      <c r="D51" s="16">
        <v>1.08</v>
      </c>
      <c r="E51" s="16">
        <v>1.05</v>
      </c>
      <c r="F51" s="16">
        <v>1.02</v>
      </c>
      <c r="G51" s="16">
        <v>1</v>
      </c>
      <c r="H51" s="16">
        <v>0.99</v>
      </c>
      <c r="I51" s="16">
        <v>1</v>
      </c>
      <c r="J51" s="16">
        <v>1.03</v>
      </c>
      <c r="K51" s="16">
        <v>1.06</v>
      </c>
      <c r="L51" s="16">
        <v>1.1000000000000001</v>
      </c>
      <c r="M51" s="16">
        <v>1.1200000000000001</v>
      </c>
      <c r="N51" s="17">
        <v>1.1200000000000001</v>
      </c>
    </row>
    <row r="52" spans="1:14" x14ac:dyDescent="0.25">
      <c r="A52" s="2"/>
      <c r="B52" s="21">
        <v>15</v>
      </c>
      <c r="C52" s="16">
        <v>1.1499999999999999</v>
      </c>
      <c r="D52" s="16">
        <v>1.1100000000000001</v>
      </c>
      <c r="E52" s="16">
        <v>1.07</v>
      </c>
      <c r="F52" s="16">
        <v>1.03</v>
      </c>
      <c r="G52" s="16">
        <v>0.99</v>
      </c>
      <c r="H52" s="16">
        <v>0.98</v>
      </c>
      <c r="I52" s="16">
        <v>0.99</v>
      </c>
      <c r="J52" s="16">
        <v>1.03</v>
      </c>
      <c r="K52" s="16">
        <v>1.08</v>
      </c>
      <c r="L52" s="16">
        <v>1.1399999999999999</v>
      </c>
      <c r="M52" s="16">
        <v>1.18</v>
      </c>
      <c r="N52" s="17">
        <v>1.17</v>
      </c>
    </row>
    <row r="53" spans="1:14" x14ac:dyDescent="0.25">
      <c r="A53" s="2"/>
      <c r="B53" s="21">
        <v>20</v>
      </c>
      <c r="C53" s="16">
        <v>1.18</v>
      </c>
      <c r="D53" s="16">
        <v>1.1399999999999999</v>
      </c>
      <c r="E53" s="16">
        <v>1.08</v>
      </c>
      <c r="F53" s="16">
        <v>1.02</v>
      </c>
      <c r="G53" s="16">
        <v>0.98</v>
      </c>
      <c r="H53" s="16">
        <v>0.96</v>
      </c>
      <c r="I53" s="16">
        <v>0.98</v>
      </c>
      <c r="J53" s="16">
        <v>1.03</v>
      </c>
      <c r="K53" s="16">
        <v>1.1000000000000001</v>
      </c>
      <c r="L53" s="16">
        <v>1.17</v>
      </c>
      <c r="M53" s="16">
        <v>1.22</v>
      </c>
      <c r="N53" s="17">
        <v>1.22</v>
      </c>
    </row>
    <row r="54" spans="1:14" x14ac:dyDescent="0.25">
      <c r="A54" s="2"/>
      <c r="B54" s="21">
        <v>25</v>
      </c>
      <c r="C54" s="16">
        <v>1.21</v>
      </c>
      <c r="D54" s="16">
        <v>1.1499999999999999</v>
      </c>
      <c r="E54" s="16">
        <v>1.08</v>
      </c>
      <c r="F54" s="16">
        <v>1.01</v>
      </c>
      <c r="G54" s="16">
        <v>0.95</v>
      </c>
      <c r="H54" s="16">
        <v>0.93</v>
      </c>
      <c r="I54" s="16">
        <v>0.95</v>
      </c>
      <c r="J54" s="16">
        <v>1.01</v>
      </c>
      <c r="K54" s="16">
        <v>1.1000000000000001</v>
      </c>
      <c r="L54" s="16">
        <v>1.2</v>
      </c>
      <c r="M54" s="16">
        <v>1.26</v>
      </c>
      <c r="N54" s="17">
        <v>1.25</v>
      </c>
    </row>
    <row r="55" spans="1:14" x14ac:dyDescent="0.25">
      <c r="A55" s="2"/>
      <c r="B55" s="21">
        <v>30</v>
      </c>
      <c r="C55" s="16">
        <v>1.23</v>
      </c>
      <c r="D55" s="16">
        <v>1.1599999999999999</v>
      </c>
      <c r="E55" s="16">
        <v>1.08</v>
      </c>
      <c r="F55" s="16">
        <v>0.99</v>
      </c>
      <c r="G55" s="16">
        <v>0.92</v>
      </c>
      <c r="H55" s="16">
        <v>0.9</v>
      </c>
      <c r="I55" s="16">
        <v>0.91</v>
      </c>
      <c r="J55" s="16">
        <v>1</v>
      </c>
      <c r="K55" s="16">
        <v>1.1000000000000001</v>
      </c>
      <c r="L55" s="16">
        <v>1.21</v>
      </c>
      <c r="M55" s="16">
        <v>1.28</v>
      </c>
      <c r="N55" s="17">
        <v>1.28</v>
      </c>
    </row>
    <row r="56" spans="1:14" x14ac:dyDescent="0.25">
      <c r="A56" s="2"/>
      <c r="B56" s="21">
        <v>35</v>
      </c>
      <c r="C56" s="16">
        <v>1.24</v>
      </c>
      <c r="D56" s="16">
        <v>1.17</v>
      </c>
      <c r="E56" s="16">
        <v>1.07</v>
      </c>
      <c r="F56" s="16">
        <v>0.97</v>
      </c>
      <c r="G56" s="16">
        <v>0.89</v>
      </c>
      <c r="H56" s="16">
        <v>0.86</v>
      </c>
      <c r="I56" s="16">
        <v>0.89</v>
      </c>
      <c r="J56" s="16">
        <v>0.97</v>
      </c>
      <c r="K56" s="16">
        <v>1.0900000000000001</v>
      </c>
      <c r="L56" s="16">
        <v>1.22</v>
      </c>
      <c r="M56" s="16">
        <v>1.3</v>
      </c>
      <c r="N56" s="17">
        <v>1.3</v>
      </c>
    </row>
    <row r="57" spans="1:14" x14ac:dyDescent="0.25">
      <c r="A57" s="2"/>
      <c r="B57" s="21">
        <v>40</v>
      </c>
      <c r="C57" s="16">
        <v>1.25</v>
      </c>
      <c r="D57" s="16">
        <v>1.1599999999999999</v>
      </c>
      <c r="E57" s="16">
        <v>1.05</v>
      </c>
      <c r="F57" s="16">
        <v>0.93</v>
      </c>
      <c r="G57" s="16">
        <v>0.85</v>
      </c>
      <c r="H57" s="16">
        <v>0.81</v>
      </c>
      <c r="I57" s="16">
        <v>0.85</v>
      </c>
      <c r="J57" s="16">
        <v>0.94</v>
      </c>
      <c r="K57" s="16">
        <v>1.07</v>
      </c>
      <c r="L57" s="16">
        <v>1.22</v>
      </c>
      <c r="M57" s="16">
        <v>1.32</v>
      </c>
      <c r="N57" s="17">
        <v>1.31</v>
      </c>
    </row>
    <row r="58" spans="1:14" x14ac:dyDescent="0.25">
      <c r="A58" s="2"/>
      <c r="B58" s="21">
        <v>45</v>
      </c>
      <c r="C58" s="16">
        <v>1.24</v>
      </c>
      <c r="D58" s="16">
        <v>1.1499999999999999</v>
      </c>
      <c r="E58" s="16">
        <v>1.02</v>
      </c>
      <c r="F58" s="16">
        <v>0.9</v>
      </c>
      <c r="G58" s="16">
        <v>0.8</v>
      </c>
      <c r="H58" s="16">
        <v>0.76</v>
      </c>
      <c r="I58" s="16">
        <v>0.8</v>
      </c>
      <c r="J58" s="16">
        <v>0.9</v>
      </c>
      <c r="K58" s="16">
        <v>1.05</v>
      </c>
      <c r="L58" s="16">
        <v>1.21</v>
      </c>
      <c r="M58" s="16">
        <v>1.32</v>
      </c>
      <c r="N58" s="17">
        <v>1.32</v>
      </c>
    </row>
    <row r="59" spans="1:14" x14ac:dyDescent="0.25">
      <c r="A59" s="2"/>
      <c r="B59" s="21">
        <v>50</v>
      </c>
      <c r="C59" s="16">
        <v>1.23</v>
      </c>
      <c r="D59" s="16">
        <v>1.1299999999999999</v>
      </c>
      <c r="E59" s="16">
        <v>0.99</v>
      </c>
      <c r="F59" s="16">
        <v>0.85</v>
      </c>
      <c r="G59" s="16">
        <v>0.75</v>
      </c>
      <c r="H59" s="16">
        <v>0.71</v>
      </c>
      <c r="I59" s="16">
        <v>0.74</v>
      </c>
      <c r="J59" s="16">
        <v>0.85</v>
      </c>
      <c r="K59" s="16">
        <v>1.02</v>
      </c>
      <c r="L59" s="16">
        <v>1.19</v>
      </c>
      <c r="M59" s="16">
        <v>1.31</v>
      </c>
      <c r="N59" s="17">
        <v>1.31</v>
      </c>
    </row>
    <row r="60" spans="1:14" x14ac:dyDescent="0.25">
      <c r="A60" s="2"/>
      <c r="B60" s="21">
        <v>55</v>
      </c>
      <c r="C60" s="16">
        <v>1.22</v>
      </c>
      <c r="D60" s="16">
        <v>1.1000000000000001</v>
      </c>
      <c r="E60" s="16">
        <v>0.95</v>
      </c>
      <c r="F60" s="16">
        <v>0.8</v>
      </c>
      <c r="G60" s="16">
        <v>0.69</v>
      </c>
      <c r="H60" s="16">
        <v>0.64</v>
      </c>
      <c r="I60" s="16">
        <v>0.68</v>
      </c>
      <c r="J60" s="16">
        <v>0.8</v>
      </c>
      <c r="K60" s="16">
        <v>0.98</v>
      </c>
      <c r="L60" s="16">
        <v>1.17</v>
      </c>
      <c r="M60" s="16">
        <v>1.3</v>
      </c>
      <c r="N60" s="17">
        <v>1.3</v>
      </c>
    </row>
    <row r="61" spans="1:14" x14ac:dyDescent="0.25">
      <c r="A61" s="2"/>
      <c r="B61" s="21">
        <v>60</v>
      </c>
      <c r="C61" s="16">
        <v>1.19</v>
      </c>
      <c r="D61" s="16">
        <v>1.07</v>
      </c>
      <c r="E61" s="16">
        <v>0.91</v>
      </c>
      <c r="F61" s="16">
        <v>0.75</v>
      </c>
      <c r="G61" s="16">
        <v>0.63</v>
      </c>
      <c r="H61" s="16">
        <v>0.57999999999999996</v>
      </c>
      <c r="I61" s="16">
        <v>0.62</v>
      </c>
      <c r="J61" s="16">
        <v>0.75</v>
      </c>
      <c r="K61" s="16">
        <v>0.93</v>
      </c>
      <c r="L61" s="16">
        <v>1.1399999999999999</v>
      </c>
      <c r="M61" s="16">
        <v>1.28</v>
      </c>
      <c r="N61" s="17">
        <v>1.28</v>
      </c>
    </row>
    <row r="62" spans="1:14" x14ac:dyDescent="0.25">
      <c r="A62" s="2"/>
      <c r="B62" s="21">
        <v>65</v>
      </c>
      <c r="C62" s="16">
        <v>1.1599999999999999</v>
      </c>
      <c r="D62" s="16">
        <v>1.03</v>
      </c>
      <c r="E62" s="16">
        <v>0.86</v>
      </c>
      <c r="F62" s="16">
        <v>0.69</v>
      </c>
      <c r="G62" s="16">
        <v>0.56000000000000005</v>
      </c>
      <c r="H62" s="16">
        <v>0.51</v>
      </c>
      <c r="I62" s="16">
        <v>0.55000000000000004</v>
      </c>
      <c r="J62" s="16">
        <v>0.69</v>
      </c>
      <c r="K62" s="16">
        <v>0.88</v>
      </c>
      <c r="L62" s="16">
        <v>1.1000000000000001</v>
      </c>
      <c r="M62" s="16">
        <v>1.24</v>
      </c>
      <c r="N62" s="17">
        <v>1.25</v>
      </c>
    </row>
    <row r="63" spans="1:14" x14ac:dyDescent="0.25">
      <c r="A63" s="2"/>
      <c r="B63" s="21">
        <v>70</v>
      </c>
      <c r="C63" s="16">
        <v>1.1200000000000001</v>
      </c>
      <c r="D63" s="16">
        <v>0.98</v>
      </c>
      <c r="E63" s="16">
        <v>0.8</v>
      </c>
      <c r="F63" s="16">
        <v>0.62</v>
      </c>
      <c r="G63" s="16">
        <v>0.49</v>
      </c>
      <c r="H63" s="16">
        <v>0.44</v>
      </c>
      <c r="I63" s="16">
        <v>0.48</v>
      </c>
      <c r="J63" s="16">
        <v>0.62</v>
      </c>
      <c r="K63" s="16">
        <v>0.82</v>
      </c>
      <c r="L63" s="16">
        <v>1.05</v>
      </c>
      <c r="M63" s="16">
        <v>1.2</v>
      </c>
      <c r="N63" s="17">
        <v>1.22</v>
      </c>
    </row>
    <row r="64" spans="1:14" x14ac:dyDescent="0.25">
      <c r="A64" s="2"/>
      <c r="B64" s="21">
        <v>75</v>
      </c>
      <c r="C64" s="16">
        <v>1.07</v>
      </c>
      <c r="D64" s="16">
        <v>0.93</v>
      </c>
      <c r="E64" s="16">
        <v>0.74</v>
      </c>
      <c r="F64" s="16">
        <v>0.55000000000000004</v>
      </c>
      <c r="G64" s="16">
        <v>0.42</v>
      </c>
      <c r="H64" s="16">
        <v>0.36</v>
      </c>
      <c r="I64" s="16">
        <v>0.41</v>
      </c>
      <c r="J64" s="16">
        <v>0.55000000000000004</v>
      </c>
      <c r="K64" s="16">
        <v>0.76</v>
      </c>
      <c r="L64" s="16">
        <v>0.99</v>
      </c>
      <c r="M64" s="16">
        <v>1.1599999999999999</v>
      </c>
      <c r="N64" s="17">
        <v>1.17</v>
      </c>
    </row>
    <row r="65" spans="1:14" x14ac:dyDescent="0.25">
      <c r="A65" s="2"/>
      <c r="B65" s="21">
        <v>80</v>
      </c>
      <c r="C65" s="16">
        <v>1.02</v>
      </c>
      <c r="D65" s="16">
        <v>0.87</v>
      </c>
      <c r="E65" s="16">
        <v>0.68</v>
      </c>
      <c r="F65" s="16">
        <v>0.48</v>
      </c>
      <c r="G65" s="16">
        <v>0.34</v>
      </c>
      <c r="H65" s="16">
        <v>0.28000000000000003</v>
      </c>
      <c r="I65" s="16">
        <v>0.33</v>
      </c>
      <c r="J65" s="16">
        <v>0.48</v>
      </c>
      <c r="K65" s="16">
        <v>0.69</v>
      </c>
      <c r="L65" s="16">
        <v>0.93</v>
      </c>
      <c r="M65" s="16">
        <v>1.1000000000000001</v>
      </c>
      <c r="N65" s="17">
        <v>1.1200000000000001</v>
      </c>
    </row>
    <row r="66" spans="1:14" x14ac:dyDescent="0.25">
      <c r="A66" s="2"/>
      <c r="B66" s="21">
        <v>85</v>
      </c>
      <c r="C66" s="16">
        <v>0.96</v>
      </c>
      <c r="D66" s="16">
        <v>0.81</v>
      </c>
      <c r="E66" s="16">
        <v>0.61</v>
      </c>
      <c r="F66" s="16">
        <v>0.41</v>
      </c>
      <c r="G66" s="16">
        <v>0.26</v>
      </c>
      <c r="H66" s="16">
        <v>0.21</v>
      </c>
      <c r="I66" s="16">
        <v>0.25</v>
      </c>
      <c r="J66" s="16">
        <v>0.41</v>
      </c>
      <c r="K66" s="16">
        <v>0.62</v>
      </c>
      <c r="L66" s="16">
        <v>0.87</v>
      </c>
      <c r="M66" s="16">
        <v>1.04</v>
      </c>
      <c r="N66" s="17">
        <v>1.06</v>
      </c>
    </row>
    <row r="67" spans="1:14" ht="15.75" thickBot="1" x14ac:dyDescent="0.3">
      <c r="A67" s="2"/>
      <c r="B67" s="22">
        <v>90</v>
      </c>
      <c r="C67" s="18">
        <v>0.9</v>
      </c>
      <c r="D67" s="18">
        <v>0.74</v>
      </c>
      <c r="E67" s="18">
        <v>0.54</v>
      </c>
      <c r="F67" s="18">
        <v>0.33</v>
      </c>
      <c r="G67" s="18">
        <v>0.18</v>
      </c>
      <c r="H67" s="18">
        <v>0.13</v>
      </c>
      <c r="I67" s="18">
        <v>0.17</v>
      </c>
      <c r="J67" s="18">
        <v>0.33</v>
      </c>
      <c r="K67" s="18">
        <v>0.54</v>
      </c>
      <c r="L67" s="18">
        <v>0.79</v>
      </c>
      <c r="M67" s="18">
        <v>0.97</v>
      </c>
      <c r="N67" s="19">
        <v>1</v>
      </c>
    </row>
    <row r="68" spans="1:14" ht="15.75" thickTop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Top="1" x14ac:dyDescent="0.25">
      <c r="A70" s="2"/>
      <c r="B70" s="8" t="s">
        <v>211</v>
      </c>
      <c r="C70" s="9" t="s">
        <v>196</v>
      </c>
      <c r="D70" s="9" t="s">
        <v>197</v>
      </c>
      <c r="E70" s="9" t="s">
        <v>198</v>
      </c>
      <c r="F70" s="9" t="s">
        <v>199</v>
      </c>
      <c r="G70" s="9" t="s">
        <v>200</v>
      </c>
      <c r="H70" s="9" t="s">
        <v>201</v>
      </c>
      <c r="I70" s="9" t="s">
        <v>202</v>
      </c>
      <c r="J70" s="9" t="s">
        <v>203</v>
      </c>
      <c r="K70" s="9" t="s">
        <v>204</v>
      </c>
      <c r="L70" s="9" t="s">
        <v>205</v>
      </c>
      <c r="M70" s="9" t="s">
        <v>206</v>
      </c>
      <c r="N70" s="10" t="s">
        <v>207</v>
      </c>
    </row>
    <row r="71" spans="1:14" ht="15.75" thickBot="1" x14ac:dyDescent="0.3">
      <c r="A71" s="2"/>
      <c r="B71" s="11" t="s">
        <v>208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</row>
    <row r="72" spans="1:14" ht="15.75" thickTop="1" x14ac:dyDescent="0.25">
      <c r="A72" s="2"/>
      <c r="B72" s="30">
        <v>0</v>
      </c>
      <c r="C72" s="16">
        <v>1</v>
      </c>
      <c r="D72" s="16">
        <v>1</v>
      </c>
      <c r="E72" s="16">
        <v>1</v>
      </c>
      <c r="F72" s="16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7">
        <v>1</v>
      </c>
    </row>
    <row r="73" spans="1:14" x14ac:dyDescent="0.25">
      <c r="A73" s="2"/>
      <c r="B73" s="30">
        <v>5</v>
      </c>
      <c r="C73" s="16">
        <v>1.06</v>
      </c>
      <c r="D73" s="16">
        <v>1.05</v>
      </c>
      <c r="E73" s="16">
        <v>1.04</v>
      </c>
      <c r="F73" s="16">
        <v>1.02</v>
      </c>
      <c r="G73" s="16">
        <v>1.01</v>
      </c>
      <c r="H73" s="16">
        <v>1.01</v>
      </c>
      <c r="I73" s="16">
        <v>1.01</v>
      </c>
      <c r="J73" s="16">
        <v>1.02</v>
      </c>
      <c r="K73" s="16">
        <v>1.04</v>
      </c>
      <c r="L73" s="16">
        <v>1.06</v>
      </c>
      <c r="M73" s="16">
        <v>1.08</v>
      </c>
      <c r="N73" s="17">
        <v>1.07</v>
      </c>
    </row>
    <row r="74" spans="1:14" x14ac:dyDescent="0.25">
      <c r="A74" s="2"/>
      <c r="B74" s="30">
        <v>10</v>
      </c>
      <c r="C74" s="16">
        <v>1.1200000000000001</v>
      </c>
      <c r="D74" s="16">
        <v>1.1000000000000001</v>
      </c>
      <c r="E74" s="16">
        <v>1.07</v>
      </c>
      <c r="F74" s="16">
        <v>1.04</v>
      </c>
      <c r="G74" s="16">
        <v>1.01</v>
      </c>
      <c r="H74" s="16">
        <v>1.01</v>
      </c>
      <c r="I74" s="16">
        <v>1.02</v>
      </c>
      <c r="J74" s="16">
        <v>1.04</v>
      </c>
      <c r="K74" s="16">
        <v>1.08</v>
      </c>
      <c r="L74" s="16">
        <v>1.1200000000000001</v>
      </c>
      <c r="M74" s="16">
        <v>1.1399999999999999</v>
      </c>
      <c r="N74" s="17">
        <v>1.1399999999999999</v>
      </c>
    </row>
    <row r="75" spans="1:14" x14ac:dyDescent="0.25">
      <c r="A75" s="2"/>
      <c r="B75" s="30">
        <v>15</v>
      </c>
      <c r="C75" s="16">
        <v>1.17</v>
      </c>
      <c r="D75" s="16">
        <v>1.1299999999999999</v>
      </c>
      <c r="E75" s="16">
        <v>1.0900000000000001</v>
      </c>
      <c r="F75" s="16">
        <v>1.05</v>
      </c>
      <c r="G75" s="16">
        <v>1.01</v>
      </c>
      <c r="H75" s="16">
        <v>1</v>
      </c>
      <c r="I75" s="16">
        <v>1.01</v>
      </c>
      <c r="J75" s="16">
        <v>1.05</v>
      </c>
      <c r="K75" s="16">
        <v>1.1100000000000001</v>
      </c>
      <c r="L75" s="16">
        <v>1.17</v>
      </c>
      <c r="M75" s="16">
        <v>1.21</v>
      </c>
      <c r="N75" s="17">
        <v>1.2</v>
      </c>
    </row>
    <row r="76" spans="1:14" x14ac:dyDescent="0.25">
      <c r="A76" s="2"/>
      <c r="B76" s="30">
        <v>20</v>
      </c>
      <c r="C76" s="16">
        <v>1.21</v>
      </c>
      <c r="D76" s="16">
        <v>1.1599999999999999</v>
      </c>
      <c r="E76" s="16">
        <v>1.1100000000000001</v>
      </c>
      <c r="F76" s="16">
        <v>1.05</v>
      </c>
      <c r="G76" s="16">
        <v>1</v>
      </c>
      <c r="H76" s="16">
        <v>0.98</v>
      </c>
      <c r="I76" s="16">
        <v>1</v>
      </c>
      <c r="J76" s="16">
        <v>1.05</v>
      </c>
      <c r="K76" s="16">
        <v>1.1299999999999999</v>
      </c>
      <c r="L76" s="16">
        <v>1.21</v>
      </c>
      <c r="M76" s="16">
        <v>1.26</v>
      </c>
      <c r="N76" s="17">
        <v>1.25</v>
      </c>
    </row>
    <row r="77" spans="1:14" x14ac:dyDescent="0.25">
      <c r="A77" s="2"/>
      <c r="B77" s="30">
        <v>25</v>
      </c>
      <c r="C77" s="16">
        <v>1.25</v>
      </c>
      <c r="D77" s="16">
        <v>1.19</v>
      </c>
      <c r="E77" s="16">
        <v>1.1200000000000001</v>
      </c>
      <c r="F77" s="16">
        <v>1.04</v>
      </c>
      <c r="G77" s="16">
        <v>0.98</v>
      </c>
      <c r="H77" s="16">
        <v>0.96</v>
      </c>
      <c r="I77" s="16">
        <v>0.99</v>
      </c>
      <c r="J77" s="16">
        <v>1.05</v>
      </c>
      <c r="K77" s="16">
        <v>1.1399999999999999</v>
      </c>
      <c r="L77" s="16">
        <v>1.24</v>
      </c>
      <c r="M77" s="16">
        <v>1.31</v>
      </c>
      <c r="N77" s="17">
        <v>1.3</v>
      </c>
    </row>
    <row r="78" spans="1:14" x14ac:dyDescent="0.25">
      <c r="A78" s="2"/>
      <c r="B78" s="30">
        <v>30</v>
      </c>
      <c r="C78" s="16">
        <v>1.27</v>
      </c>
      <c r="D78" s="16">
        <v>1.2</v>
      </c>
      <c r="E78" s="16">
        <v>1.1200000000000001</v>
      </c>
      <c r="F78" s="16">
        <v>1.03</v>
      </c>
      <c r="G78" s="16">
        <v>0.96</v>
      </c>
      <c r="H78" s="16">
        <v>0.94</v>
      </c>
      <c r="I78" s="16">
        <v>0.96</v>
      </c>
      <c r="J78" s="16">
        <v>1.03</v>
      </c>
      <c r="K78" s="16">
        <v>1.1399999999999999</v>
      </c>
      <c r="L78" s="16">
        <v>1.27</v>
      </c>
      <c r="M78" s="16">
        <v>1.34</v>
      </c>
      <c r="N78" s="17">
        <v>1.33</v>
      </c>
    </row>
    <row r="79" spans="1:14" x14ac:dyDescent="0.25">
      <c r="A79" s="2"/>
      <c r="B79" s="30">
        <v>35</v>
      </c>
      <c r="C79" s="16">
        <v>1.29</v>
      </c>
      <c r="D79" s="16">
        <v>1.21</v>
      </c>
      <c r="E79" s="16">
        <v>1.1100000000000001</v>
      </c>
      <c r="F79" s="16">
        <v>1.01</v>
      </c>
      <c r="G79" s="16">
        <v>0.93</v>
      </c>
      <c r="H79" s="16">
        <v>0.9</v>
      </c>
      <c r="I79" s="16">
        <v>0.93</v>
      </c>
      <c r="J79" s="16">
        <v>1.01</v>
      </c>
      <c r="K79" s="16">
        <v>1.1399999999999999</v>
      </c>
      <c r="L79" s="16">
        <v>1.28</v>
      </c>
      <c r="M79" s="16">
        <v>1.37</v>
      </c>
      <c r="N79" s="17">
        <v>1.36</v>
      </c>
    </row>
    <row r="80" spans="1:14" x14ac:dyDescent="0.25">
      <c r="A80" s="2"/>
      <c r="B80" s="30">
        <v>40</v>
      </c>
      <c r="C80" s="16">
        <v>1.31</v>
      </c>
      <c r="D80" s="16">
        <v>1.21</v>
      </c>
      <c r="E80" s="16">
        <v>1.1000000000000001</v>
      </c>
      <c r="F80" s="16">
        <v>0.98</v>
      </c>
      <c r="G80" s="16">
        <v>0.89</v>
      </c>
      <c r="H80" s="16">
        <v>0.86</v>
      </c>
      <c r="I80" s="16">
        <v>0.89</v>
      </c>
      <c r="J80" s="16">
        <v>0.99</v>
      </c>
      <c r="K80" s="16">
        <v>1.1299999999999999</v>
      </c>
      <c r="L80" s="16">
        <v>1.29</v>
      </c>
      <c r="M80" s="16">
        <v>1.39</v>
      </c>
      <c r="N80" s="17">
        <v>1.38</v>
      </c>
    </row>
    <row r="81" spans="1:14" x14ac:dyDescent="0.25">
      <c r="A81" s="2"/>
      <c r="B81" s="30">
        <v>45</v>
      </c>
      <c r="C81" s="16">
        <v>1.31</v>
      </c>
      <c r="D81" s="16">
        <v>1.21</v>
      </c>
      <c r="E81" s="16">
        <v>1.08</v>
      </c>
      <c r="F81" s="16">
        <v>0.95</v>
      </c>
      <c r="G81" s="16">
        <v>0.85</v>
      </c>
      <c r="H81" s="16">
        <v>0.81</v>
      </c>
      <c r="I81" s="16">
        <v>0.85</v>
      </c>
      <c r="J81" s="16">
        <v>0.95</v>
      </c>
      <c r="K81" s="16">
        <v>1.1000000000000001</v>
      </c>
      <c r="L81" s="16">
        <v>1.29</v>
      </c>
      <c r="M81" s="16">
        <v>1.4</v>
      </c>
      <c r="N81" s="17">
        <v>1.4</v>
      </c>
    </row>
    <row r="82" spans="1:14" x14ac:dyDescent="0.25">
      <c r="A82" s="2"/>
      <c r="B82" s="30">
        <v>50</v>
      </c>
      <c r="C82" s="16">
        <v>1.31</v>
      </c>
      <c r="D82" s="16">
        <v>1.19</v>
      </c>
      <c r="E82" s="16">
        <v>1.05</v>
      </c>
      <c r="F82" s="16">
        <v>0.91</v>
      </c>
      <c r="G82" s="16">
        <v>0.8</v>
      </c>
      <c r="H82" s="16">
        <v>0.76</v>
      </c>
      <c r="I82" s="16">
        <v>0.8</v>
      </c>
      <c r="J82" s="16">
        <v>0.91</v>
      </c>
      <c r="K82" s="16">
        <v>1.0900000000000001</v>
      </c>
      <c r="L82" s="16">
        <v>1.28</v>
      </c>
      <c r="M82" s="16">
        <v>1.41</v>
      </c>
      <c r="N82" s="17">
        <v>1.4</v>
      </c>
    </row>
    <row r="83" spans="1:14" x14ac:dyDescent="0.25">
      <c r="A83" s="2"/>
      <c r="B83" s="30">
        <v>55</v>
      </c>
      <c r="C83" s="16">
        <v>1.3</v>
      </c>
      <c r="D83" s="16">
        <v>1.17</v>
      </c>
      <c r="E83" s="16">
        <v>1.02</v>
      </c>
      <c r="F83" s="16">
        <v>0.86</v>
      </c>
      <c r="G83" s="16">
        <v>0.75</v>
      </c>
      <c r="H83" s="16">
        <v>0.7</v>
      </c>
      <c r="I83" s="16">
        <v>0.75</v>
      </c>
      <c r="J83" s="16">
        <v>0.87</v>
      </c>
      <c r="K83" s="16">
        <v>1.05</v>
      </c>
      <c r="L83" s="16">
        <v>1.26</v>
      </c>
      <c r="M83" s="16">
        <v>1.4</v>
      </c>
      <c r="N83" s="17">
        <v>1.39</v>
      </c>
    </row>
    <row r="84" spans="1:14" x14ac:dyDescent="0.25">
      <c r="A84" s="2"/>
      <c r="B84" s="30">
        <v>60</v>
      </c>
      <c r="C84" s="16">
        <v>1.28</v>
      </c>
      <c r="D84" s="16">
        <v>1.1399999999999999</v>
      </c>
      <c r="E84" s="16">
        <v>0.98</v>
      </c>
      <c r="F84" s="16">
        <v>0.81</v>
      </c>
      <c r="G84" s="16">
        <v>0.69</v>
      </c>
      <c r="H84" s="16">
        <v>0.64</v>
      </c>
      <c r="I84" s="16">
        <v>0.69</v>
      </c>
      <c r="J84" s="16">
        <v>0.82</v>
      </c>
      <c r="K84" s="16">
        <v>1.01</v>
      </c>
      <c r="L84" s="16">
        <v>1.23</v>
      </c>
      <c r="M84" s="16">
        <v>1.38</v>
      </c>
      <c r="N84" s="17">
        <v>1.38</v>
      </c>
    </row>
    <row r="85" spans="1:14" x14ac:dyDescent="0.25">
      <c r="A85" s="2"/>
      <c r="B85" s="30">
        <v>65</v>
      </c>
      <c r="C85" s="16">
        <v>1.25</v>
      </c>
      <c r="D85" s="16">
        <v>1.1100000000000001</v>
      </c>
      <c r="E85" s="16">
        <v>0.93</v>
      </c>
      <c r="F85" s="16">
        <v>0.75</v>
      </c>
      <c r="G85" s="16">
        <v>0.63</v>
      </c>
      <c r="H85" s="16">
        <v>0.57999999999999996</v>
      </c>
      <c r="I85" s="16">
        <v>0.62</v>
      </c>
      <c r="J85" s="16">
        <v>0.76</v>
      </c>
      <c r="K85" s="16">
        <v>0.96</v>
      </c>
      <c r="L85" s="16">
        <v>1.2</v>
      </c>
      <c r="M85" s="16">
        <v>1.36</v>
      </c>
      <c r="N85" s="17">
        <v>1.36</v>
      </c>
    </row>
    <row r="86" spans="1:14" x14ac:dyDescent="0.25">
      <c r="A86" s="2"/>
      <c r="B86" s="30">
        <v>70</v>
      </c>
      <c r="C86" s="16">
        <v>1.21</v>
      </c>
      <c r="D86" s="16">
        <v>1.06</v>
      </c>
      <c r="E86" s="16">
        <v>0.88</v>
      </c>
      <c r="F86" s="16">
        <v>0.69</v>
      </c>
      <c r="G86" s="16">
        <v>0.56000000000000005</v>
      </c>
      <c r="H86" s="16">
        <v>0.51</v>
      </c>
      <c r="I86" s="16">
        <v>0.55000000000000004</v>
      </c>
      <c r="J86" s="16">
        <v>0.69</v>
      </c>
      <c r="K86" s="16">
        <v>0.91</v>
      </c>
      <c r="L86" s="16">
        <v>1.1499999999999999</v>
      </c>
      <c r="M86" s="16">
        <v>1.32</v>
      </c>
      <c r="N86" s="17">
        <v>1.32</v>
      </c>
    </row>
    <row r="87" spans="1:14" x14ac:dyDescent="0.25">
      <c r="A87" s="2"/>
      <c r="B87" s="30">
        <v>75</v>
      </c>
      <c r="C87" s="16">
        <v>1.17</v>
      </c>
      <c r="D87" s="16">
        <v>1.01</v>
      </c>
      <c r="E87" s="16">
        <v>0.82</v>
      </c>
      <c r="F87" s="16">
        <v>0.63</v>
      </c>
      <c r="G87" s="16">
        <v>0.49</v>
      </c>
      <c r="H87" s="16">
        <v>0.43</v>
      </c>
      <c r="I87" s="16">
        <v>0.48</v>
      </c>
      <c r="J87" s="16">
        <v>0.63</v>
      </c>
      <c r="K87" s="16">
        <v>0.85</v>
      </c>
      <c r="L87" s="16">
        <v>1.1000000000000001</v>
      </c>
      <c r="M87" s="16">
        <v>1.28</v>
      </c>
      <c r="N87" s="17">
        <v>1.28</v>
      </c>
    </row>
    <row r="88" spans="1:14" x14ac:dyDescent="0.25">
      <c r="A88" s="2"/>
      <c r="B88" s="30">
        <v>80</v>
      </c>
      <c r="C88" s="16">
        <v>1.1200000000000001</v>
      </c>
      <c r="D88" s="16">
        <v>0.96</v>
      </c>
      <c r="E88" s="16">
        <v>0.76</v>
      </c>
      <c r="F88" s="16">
        <v>0.56000000000000005</v>
      </c>
      <c r="G88" s="16">
        <v>0.41</v>
      </c>
      <c r="H88" s="16">
        <v>0.36</v>
      </c>
      <c r="I88" s="16">
        <v>0.41</v>
      </c>
      <c r="J88" s="16">
        <v>0.56000000000000005</v>
      </c>
      <c r="K88" s="16">
        <v>0.78</v>
      </c>
      <c r="L88" s="16">
        <v>1.04</v>
      </c>
      <c r="M88" s="16">
        <v>1.23</v>
      </c>
      <c r="N88" s="17">
        <v>1.24</v>
      </c>
    </row>
    <row r="89" spans="1:14" x14ac:dyDescent="0.25">
      <c r="A89" s="2"/>
      <c r="B89" s="30">
        <v>85</v>
      </c>
      <c r="C89" s="16">
        <v>1.06</v>
      </c>
      <c r="D89" s="16">
        <v>0.9</v>
      </c>
      <c r="E89" s="16">
        <v>0.69</v>
      </c>
      <c r="F89" s="16">
        <v>0.48</v>
      </c>
      <c r="G89" s="16">
        <v>0.34</v>
      </c>
      <c r="H89" s="16">
        <v>0.28000000000000003</v>
      </c>
      <c r="I89" s="16">
        <v>0.33</v>
      </c>
      <c r="J89" s="16">
        <v>0.48</v>
      </c>
      <c r="K89" s="16">
        <v>0.71</v>
      </c>
      <c r="L89" s="16">
        <v>0.98</v>
      </c>
      <c r="M89" s="16">
        <v>1.17</v>
      </c>
      <c r="N89" s="17">
        <v>1.18</v>
      </c>
    </row>
    <row r="90" spans="1:14" ht="15.75" thickBot="1" x14ac:dyDescent="0.3">
      <c r="A90" s="2"/>
      <c r="B90" s="31">
        <v>90</v>
      </c>
      <c r="C90" s="18">
        <v>1</v>
      </c>
      <c r="D90" s="18">
        <v>0.83</v>
      </c>
      <c r="E90" s="18">
        <v>0.62</v>
      </c>
      <c r="F90" s="18">
        <v>0.41</v>
      </c>
      <c r="G90" s="18">
        <v>0.26</v>
      </c>
      <c r="H90" s="18">
        <v>0.2</v>
      </c>
      <c r="I90" s="18">
        <v>0.25</v>
      </c>
      <c r="J90" s="18">
        <v>0.4</v>
      </c>
      <c r="K90" s="18">
        <v>0.64</v>
      </c>
      <c r="L90" s="18">
        <v>0.91</v>
      </c>
      <c r="M90" s="18">
        <v>1.1000000000000001</v>
      </c>
      <c r="N90" s="19">
        <v>1.1200000000000001</v>
      </c>
    </row>
    <row r="91" spans="1:14" ht="15.75" thickTop="1" x14ac:dyDescent="0.25">
      <c r="A91" s="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 thickBot="1" x14ac:dyDescent="0.3">
      <c r="A92" s="2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5.75" thickTop="1" x14ac:dyDescent="0.25">
      <c r="A93" s="2"/>
      <c r="B93" s="8" t="s">
        <v>212</v>
      </c>
      <c r="C93" s="9" t="s">
        <v>196</v>
      </c>
      <c r="D93" s="9" t="s">
        <v>197</v>
      </c>
      <c r="E93" s="9" t="s">
        <v>198</v>
      </c>
      <c r="F93" s="9" t="s">
        <v>199</v>
      </c>
      <c r="G93" s="9" t="s">
        <v>200</v>
      </c>
      <c r="H93" s="9" t="s">
        <v>201</v>
      </c>
      <c r="I93" s="9" t="s">
        <v>202</v>
      </c>
      <c r="J93" s="9" t="s">
        <v>203</v>
      </c>
      <c r="K93" s="9" t="s">
        <v>204</v>
      </c>
      <c r="L93" s="9" t="s">
        <v>205</v>
      </c>
      <c r="M93" s="9" t="s">
        <v>206</v>
      </c>
      <c r="N93" s="10" t="s">
        <v>207</v>
      </c>
    </row>
    <row r="94" spans="1:14" ht="15.75" thickBot="1" x14ac:dyDescent="0.3">
      <c r="A94" s="2"/>
      <c r="B94" s="11" t="s">
        <v>208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ht="15.75" thickTop="1" x14ac:dyDescent="0.25">
      <c r="A95" s="2"/>
      <c r="B95" s="30">
        <v>0</v>
      </c>
      <c r="C95" s="16">
        <v>1</v>
      </c>
      <c r="D95" s="16">
        <v>1</v>
      </c>
      <c r="E95" s="16">
        <v>1</v>
      </c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7">
        <v>1</v>
      </c>
    </row>
    <row r="96" spans="1:14" x14ac:dyDescent="0.25">
      <c r="A96" s="2"/>
      <c r="B96" s="30">
        <v>5</v>
      </c>
      <c r="C96" s="16">
        <v>1.06</v>
      </c>
      <c r="D96" s="16">
        <v>1.05</v>
      </c>
      <c r="E96" s="16">
        <v>1.04</v>
      </c>
      <c r="F96" s="16">
        <v>1.02</v>
      </c>
      <c r="G96" s="16">
        <v>1.01</v>
      </c>
      <c r="H96" s="16">
        <v>1.01</v>
      </c>
      <c r="I96" s="16">
        <v>1.01</v>
      </c>
      <c r="J96" s="16">
        <v>1.03</v>
      </c>
      <c r="K96" s="16">
        <v>1.04</v>
      </c>
      <c r="L96" s="16">
        <v>1.06</v>
      </c>
      <c r="M96" s="16">
        <v>1.08</v>
      </c>
      <c r="N96" s="17">
        <v>1.07</v>
      </c>
    </row>
    <row r="97" spans="1:14" x14ac:dyDescent="0.25">
      <c r="A97" s="2"/>
      <c r="B97" s="30">
        <v>10</v>
      </c>
      <c r="C97" s="16">
        <v>1.1200000000000001</v>
      </c>
      <c r="D97" s="16">
        <v>1.1000000000000001</v>
      </c>
      <c r="E97" s="16">
        <v>1.07</v>
      </c>
      <c r="F97" s="16">
        <v>1.04</v>
      </c>
      <c r="G97" s="16">
        <v>1.02</v>
      </c>
      <c r="H97" s="16">
        <v>1.01</v>
      </c>
      <c r="I97" s="16">
        <v>1.02</v>
      </c>
      <c r="J97" s="16">
        <v>1.04</v>
      </c>
      <c r="K97" s="16">
        <v>1.08</v>
      </c>
      <c r="L97" s="16">
        <v>1.1200000000000001</v>
      </c>
      <c r="M97" s="16">
        <v>1.1499999999999999</v>
      </c>
      <c r="N97" s="17">
        <v>1.1399999999999999</v>
      </c>
    </row>
    <row r="98" spans="1:14" x14ac:dyDescent="0.25">
      <c r="A98" s="2"/>
      <c r="B98" s="30">
        <v>15</v>
      </c>
      <c r="C98" s="16">
        <v>1.17</v>
      </c>
      <c r="D98" s="16">
        <v>1.1399999999999999</v>
      </c>
      <c r="E98" s="16">
        <v>1.0900000000000001</v>
      </c>
      <c r="F98" s="16">
        <v>1.05</v>
      </c>
      <c r="G98" s="16">
        <v>1.02</v>
      </c>
      <c r="H98" s="16">
        <v>1</v>
      </c>
      <c r="I98" s="16">
        <v>1.02</v>
      </c>
      <c r="J98" s="16">
        <v>1.05</v>
      </c>
      <c r="K98" s="16">
        <v>1.1100000000000001</v>
      </c>
      <c r="L98" s="16">
        <v>1.17</v>
      </c>
      <c r="M98" s="16">
        <v>1.21</v>
      </c>
      <c r="N98" s="17">
        <v>1.21</v>
      </c>
    </row>
    <row r="99" spans="1:14" x14ac:dyDescent="0.25">
      <c r="A99" s="2"/>
      <c r="B99" s="30">
        <v>20</v>
      </c>
      <c r="C99" s="16">
        <v>1.22</v>
      </c>
      <c r="D99" s="16">
        <v>1.17</v>
      </c>
      <c r="E99" s="16">
        <v>1.1100000000000001</v>
      </c>
      <c r="F99" s="16">
        <v>1.05</v>
      </c>
      <c r="G99" s="16">
        <v>1.01</v>
      </c>
      <c r="H99" s="16">
        <v>0.99</v>
      </c>
      <c r="I99" s="16">
        <v>1.01</v>
      </c>
      <c r="J99" s="16">
        <v>1.06</v>
      </c>
      <c r="K99" s="16">
        <v>1.1299999999999999</v>
      </c>
      <c r="L99" s="16">
        <v>1.22</v>
      </c>
      <c r="M99" s="16">
        <v>1.27</v>
      </c>
      <c r="N99" s="17">
        <v>1.26</v>
      </c>
    </row>
    <row r="100" spans="1:14" x14ac:dyDescent="0.25">
      <c r="A100" s="2"/>
      <c r="B100" s="30">
        <v>25</v>
      </c>
      <c r="C100" s="16">
        <v>1.25</v>
      </c>
      <c r="D100" s="16">
        <v>1.2</v>
      </c>
      <c r="E100" s="16">
        <v>1.1200000000000001</v>
      </c>
      <c r="F100" s="16">
        <v>1.05</v>
      </c>
      <c r="G100" s="16">
        <v>0.99</v>
      </c>
      <c r="H100" s="16">
        <v>0.97</v>
      </c>
      <c r="I100" s="16">
        <v>0.99</v>
      </c>
      <c r="J100" s="16">
        <v>1.05</v>
      </c>
      <c r="K100" s="16">
        <v>1.1499999999999999</v>
      </c>
      <c r="L100" s="16">
        <v>1.25</v>
      </c>
      <c r="M100" s="16">
        <v>1.32</v>
      </c>
      <c r="N100" s="17">
        <v>1.31</v>
      </c>
    </row>
    <row r="101" spans="1:14" x14ac:dyDescent="0.25">
      <c r="A101" s="2"/>
      <c r="B101" s="30">
        <v>30</v>
      </c>
      <c r="C101" s="16">
        <v>1.28</v>
      </c>
      <c r="D101" s="16">
        <v>1.21</v>
      </c>
      <c r="E101" s="16">
        <v>1.1299999999999999</v>
      </c>
      <c r="F101" s="16">
        <v>1.04</v>
      </c>
      <c r="G101" s="16">
        <v>0.97</v>
      </c>
      <c r="H101" s="16">
        <v>0.94</v>
      </c>
      <c r="I101" s="16">
        <v>0.97</v>
      </c>
      <c r="J101" s="16">
        <v>1.04</v>
      </c>
      <c r="K101" s="16">
        <v>1.1499999999999999</v>
      </c>
      <c r="L101" s="16">
        <v>1.28</v>
      </c>
      <c r="M101" s="16">
        <v>1.36</v>
      </c>
      <c r="N101" s="17">
        <v>1.35</v>
      </c>
    </row>
    <row r="102" spans="1:14" x14ac:dyDescent="0.25">
      <c r="A102" s="2"/>
      <c r="B102" s="30">
        <v>35</v>
      </c>
      <c r="C102" s="16">
        <v>1.31</v>
      </c>
      <c r="D102" s="16">
        <v>1.22</v>
      </c>
      <c r="E102" s="16">
        <v>1.1200000000000001</v>
      </c>
      <c r="F102" s="16">
        <v>1.02</v>
      </c>
      <c r="G102" s="16">
        <v>0.94</v>
      </c>
      <c r="H102" s="16">
        <v>0.91</v>
      </c>
      <c r="I102" s="16">
        <v>0.94</v>
      </c>
      <c r="J102" s="16">
        <v>1.02</v>
      </c>
      <c r="K102" s="16">
        <v>1.1499999999999999</v>
      </c>
      <c r="L102" s="16">
        <v>1.29</v>
      </c>
      <c r="M102" s="16">
        <v>1.39</v>
      </c>
      <c r="N102" s="17">
        <v>1.38</v>
      </c>
    </row>
    <row r="103" spans="1:14" x14ac:dyDescent="0.25">
      <c r="A103" s="2"/>
      <c r="B103" s="30">
        <v>40</v>
      </c>
      <c r="C103" s="16">
        <v>1.32</v>
      </c>
      <c r="D103" s="16">
        <v>1.23</v>
      </c>
      <c r="E103" s="16">
        <v>1.1100000000000001</v>
      </c>
      <c r="F103" s="16">
        <v>0.99</v>
      </c>
      <c r="G103" s="16">
        <v>0.9</v>
      </c>
      <c r="H103" s="16">
        <v>0.87</v>
      </c>
      <c r="I103" s="16">
        <v>0.9</v>
      </c>
      <c r="J103" s="16">
        <v>1</v>
      </c>
      <c r="K103" s="16">
        <v>1.1399999999999999</v>
      </c>
      <c r="L103" s="16">
        <v>1.3</v>
      </c>
      <c r="M103" s="16">
        <v>1.41</v>
      </c>
      <c r="N103" s="17">
        <v>1.4</v>
      </c>
    </row>
    <row r="104" spans="1:14" x14ac:dyDescent="0.25">
      <c r="A104" s="2"/>
      <c r="B104" s="30">
        <v>45</v>
      </c>
      <c r="C104" s="16">
        <v>1.33</v>
      </c>
      <c r="D104" s="16">
        <v>1.22</v>
      </c>
      <c r="E104" s="16">
        <v>1.0900000000000001</v>
      </c>
      <c r="F104" s="16">
        <v>0.96</v>
      </c>
      <c r="G104" s="16">
        <v>0.86</v>
      </c>
      <c r="H104" s="16">
        <v>0.82</v>
      </c>
      <c r="I104" s="16">
        <v>0.86</v>
      </c>
      <c r="J104" s="16">
        <v>0.97</v>
      </c>
      <c r="K104" s="16">
        <v>1.1299999999999999</v>
      </c>
      <c r="L104" s="16">
        <v>1.3</v>
      </c>
      <c r="M104" s="16">
        <v>1.42</v>
      </c>
      <c r="N104" s="17">
        <v>1.41</v>
      </c>
    </row>
    <row r="105" spans="1:14" x14ac:dyDescent="0.25">
      <c r="A105" s="2"/>
      <c r="B105" s="30">
        <v>50</v>
      </c>
      <c r="C105" s="16">
        <v>1.32</v>
      </c>
      <c r="D105" s="16">
        <v>1.21</v>
      </c>
      <c r="E105" s="16">
        <v>1.07</v>
      </c>
      <c r="F105" s="16">
        <v>0.92</v>
      </c>
      <c r="G105" s="16">
        <v>0.81</v>
      </c>
      <c r="H105" s="16">
        <v>0.77</v>
      </c>
      <c r="I105" s="16">
        <v>0.81</v>
      </c>
      <c r="J105" s="16">
        <v>0.93</v>
      </c>
      <c r="K105" s="16">
        <v>1.1000000000000001</v>
      </c>
      <c r="L105" s="16">
        <v>1.3</v>
      </c>
      <c r="M105" s="16">
        <v>1.43</v>
      </c>
      <c r="N105" s="17">
        <v>1.42</v>
      </c>
    </row>
    <row r="106" spans="1:14" x14ac:dyDescent="0.25">
      <c r="A106" s="2"/>
      <c r="B106" s="30">
        <v>55</v>
      </c>
      <c r="C106" s="16">
        <v>1.31</v>
      </c>
      <c r="D106" s="16">
        <v>1.19</v>
      </c>
      <c r="E106" s="16">
        <v>1.03</v>
      </c>
      <c r="F106" s="16">
        <v>0.87</v>
      </c>
      <c r="G106" s="16">
        <v>0.76</v>
      </c>
      <c r="H106" s="16">
        <v>0.72</v>
      </c>
      <c r="I106" s="16">
        <v>0.76</v>
      </c>
      <c r="J106" s="16">
        <v>0.88</v>
      </c>
      <c r="K106" s="16">
        <v>1.07</v>
      </c>
      <c r="L106" s="16">
        <v>1.28</v>
      </c>
      <c r="M106" s="16">
        <v>1.42</v>
      </c>
      <c r="N106" s="17">
        <v>1.41</v>
      </c>
    </row>
    <row r="107" spans="1:14" x14ac:dyDescent="0.25">
      <c r="A107" s="2"/>
      <c r="B107" s="30">
        <v>60</v>
      </c>
      <c r="C107" s="16">
        <v>1.29</v>
      </c>
      <c r="D107" s="16">
        <v>1.1599999999999999</v>
      </c>
      <c r="E107" s="16">
        <v>0.99</v>
      </c>
      <c r="F107" s="16">
        <v>0.82</v>
      </c>
      <c r="G107" s="16">
        <v>0.7</v>
      </c>
      <c r="H107" s="16">
        <v>0.66</v>
      </c>
      <c r="I107" s="16">
        <v>0.7</v>
      </c>
      <c r="J107" s="16">
        <v>0.83</v>
      </c>
      <c r="K107" s="16">
        <v>1.03</v>
      </c>
      <c r="L107" s="16">
        <v>1.25</v>
      </c>
      <c r="M107" s="16">
        <v>1.41</v>
      </c>
      <c r="N107" s="17">
        <v>1.4</v>
      </c>
    </row>
    <row r="108" spans="1:14" x14ac:dyDescent="0.25">
      <c r="A108" s="2"/>
      <c r="B108" s="30">
        <v>65</v>
      </c>
      <c r="C108" s="16">
        <v>1.27</v>
      </c>
      <c r="D108" s="16">
        <v>1.1200000000000001</v>
      </c>
      <c r="E108" s="16">
        <v>0.95</v>
      </c>
      <c r="F108" s="16">
        <v>0.77</v>
      </c>
      <c r="G108" s="16">
        <v>0.64</v>
      </c>
      <c r="H108" s="16">
        <v>0.59</v>
      </c>
      <c r="I108" s="16">
        <v>0.64</v>
      </c>
      <c r="J108" s="16">
        <v>0.77</v>
      </c>
      <c r="K108" s="16">
        <v>0.98</v>
      </c>
      <c r="L108" s="16">
        <v>1.22</v>
      </c>
      <c r="M108" s="16">
        <v>1.38</v>
      </c>
      <c r="N108" s="17">
        <v>1.38</v>
      </c>
    </row>
    <row r="109" spans="1:14" x14ac:dyDescent="0.25">
      <c r="A109" s="2"/>
      <c r="B109" s="30">
        <v>70</v>
      </c>
      <c r="C109" s="16">
        <v>1.23</v>
      </c>
      <c r="D109" s="16">
        <v>1.08</v>
      </c>
      <c r="E109" s="16">
        <v>0.9</v>
      </c>
      <c r="F109" s="16">
        <v>0.71</v>
      </c>
      <c r="G109" s="16">
        <v>0.56999999999999995</v>
      </c>
      <c r="H109" s="16">
        <v>0.52</v>
      </c>
      <c r="I109" s="16">
        <v>0.56999999999999995</v>
      </c>
      <c r="J109" s="16">
        <v>0.71</v>
      </c>
      <c r="K109" s="16">
        <v>0.93</v>
      </c>
      <c r="L109" s="16">
        <v>1.18</v>
      </c>
      <c r="M109" s="16">
        <v>1.35</v>
      </c>
      <c r="N109" s="17">
        <v>1.35</v>
      </c>
    </row>
    <row r="110" spans="1:14" x14ac:dyDescent="0.25">
      <c r="A110" s="2"/>
      <c r="B110" s="30">
        <v>75</v>
      </c>
      <c r="C110" s="16">
        <v>1.19</v>
      </c>
      <c r="D110" s="16">
        <v>1.03</v>
      </c>
      <c r="E110" s="16">
        <v>0.84</v>
      </c>
      <c r="F110" s="16">
        <v>0.64</v>
      </c>
      <c r="G110" s="16">
        <v>0.5</v>
      </c>
      <c r="H110" s="16">
        <v>0.45</v>
      </c>
      <c r="I110" s="16">
        <v>0.5</v>
      </c>
      <c r="J110" s="16">
        <v>0.64</v>
      </c>
      <c r="K110" s="16">
        <v>0.87</v>
      </c>
      <c r="L110" s="16">
        <v>1.1299999999999999</v>
      </c>
      <c r="M110" s="16">
        <v>1.31</v>
      </c>
      <c r="N110" s="17">
        <v>1.31</v>
      </c>
    </row>
    <row r="111" spans="1:14" x14ac:dyDescent="0.25">
      <c r="A111" s="2"/>
      <c r="B111" s="30">
        <v>80</v>
      </c>
      <c r="C111" s="16">
        <v>1.1399999999999999</v>
      </c>
      <c r="D111" s="16">
        <v>0.98</v>
      </c>
      <c r="E111" s="16">
        <v>0.78</v>
      </c>
      <c r="F111" s="16">
        <v>0.56999999999999995</v>
      </c>
      <c r="G111" s="16">
        <v>0.43</v>
      </c>
      <c r="H111" s="16">
        <v>0.37</v>
      </c>
      <c r="I111" s="16">
        <v>0.42</v>
      </c>
      <c r="J111" s="16">
        <v>0.56999999999999995</v>
      </c>
      <c r="K111" s="16">
        <v>0.8</v>
      </c>
      <c r="L111" s="16">
        <v>1.07</v>
      </c>
      <c r="M111" s="16">
        <v>1.26</v>
      </c>
      <c r="N111" s="17">
        <v>1.26</v>
      </c>
    </row>
    <row r="112" spans="1:14" x14ac:dyDescent="0.25">
      <c r="A112" s="2"/>
      <c r="B112" s="30">
        <v>85</v>
      </c>
      <c r="C112" s="16">
        <v>1.0900000000000001</v>
      </c>
      <c r="D112" s="16">
        <v>0.92</v>
      </c>
      <c r="E112" s="16">
        <v>0.71</v>
      </c>
      <c r="F112" s="16">
        <v>0.5</v>
      </c>
      <c r="G112" s="16">
        <v>0.35</v>
      </c>
      <c r="H112" s="16">
        <v>0.28999999999999998</v>
      </c>
      <c r="I112" s="16">
        <v>0.34</v>
      </c>
      <c r="J112" s="16">
        <v>0.5</v>
      </c>
      <c r="K112" s="16">
        <v>0.73</v>
      </c>
      <c r="L112" s="16">
        <v>1</v>
      </c>
      <c r="M112" s="16">
        <v>1.2</v>
      </c>
      <c r="N112" s="17">
        <v>1.21</v>
      </c>
    </row>
    <row r="113" spans="1:14" ht="15.75" thickBot="1" x14ac:dyDescent="0.3">
      <c r="A113" s="2"/>
      <c r="B113" s="31">
        <v>90</v>
      </c>
      <c r="C113" s="18">
        <v>1.02</v>
      </c>
      <c r="D113" s="18">
        <v>0.85</v>
      </c>
      <c r="E113" s="18">
        <v>0.64</v>
      </c>
      <c r="F113" s="18">
        <v>0.42</v>
      </c>
      <c r="G113" s="18">
        <v>0.27</v>
      </c>
      <c r="H113" s="18">
        <v>0.21</v>
      </c>
      <c r="I113" s="18">
        <v>0.26</v>
      </c>
      <c r="J113" s="18">
        <v>0.42</v>
      </c>
      <c r="K113" s="18">
        <v>0.66</v>
      </c>
      <c r="L113" s="18">
        <v>0.93</v>
      </c>
      <c r="M113" s="18">
        <v>1.1299999999999999</v>
      </c>
      <c r="N113" s="19">
        <v>1.1499999999999999</v>
      </c>
    </row>
    <row r="114" spans="1:14" ht="15.75" thickTop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 thickTop="1" x14ac:dyDescent="0.25">
      <c r="A116" s="2"/>
      <c r="B116" s="8" t="s">
        <v>213</v>
      </c>
      <c r="C116" s="9" t="s">
        <v>196</v>
      </c>
      <c r="D116" s="9" t="s">
        <v>197</v>
      </c>
      <c r="E116" s="9" t="s">
        <v>198</v>
      </c>
      <c r="F116" s="9" t="s">
        <v>199</v>
      </c>
      <c r="G116" s="9" t="s">
        <v>200</v>
      </c>
      <c r="H116" s="9" t="s">
        <v>201</v>
      </c>
      <c r="I116" s="9" t="s">
        <v>202</v>
      </c>
      <c r="J116" s="9" t="s">
        <v>203</v>
      </c>
      <c r="K116" s="9" t="s">
        <v>204</v>
      </c>
      <c r="L116" s="9" t="s">
        <v>205</v>
      </c>
      <c r="M116" s="9" t="s">
        <v>206</v>
      </c>
      <c r="N116" s="10" t="s">
        <v>207</v>
      </c>
    </row>
    <row r="117" spans="1:14" ht="15.75" thickBot="1" x14ac:dyDescent="0.3">
      <c r="A117" s="2"/>
      <c r="B117" s="11" t="s">
        <v>208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3"/>
    </row>
    <row r="118" spans="1:14" ht="15.75" thickTop="1" x14ac:dyDescent="0.25">
      <c r="A118" s="2"/>
      <c r="B118" s="20">
        <v>0</v>
      </c>
      <c r="C118" s="14">
        <v>1</v>
      </c>
      <c r="D118" s="14">
        <v>1</v>
      </c>
      <c r="E118" s="14">
        <v>1</v>
      </c>
      <c r="F118" s="14">
        <v>1</v>
      </c>
      <c r="G118" s="14">
        <v>1</v>
      </c>
      <c r="H118" s="14">
        <v>1</v>
      </c>
      <c r="I118" s="14">
        <v>1</v>
      </c>
      <c r="J118" s="14">
        <v>1</v>
      </c>
      <c r="K118" s="14">
        <v>1</v>
      </c>
      <c r="L118" s="14">
        <v>1</v>
      </c>
      <c r="M118" s="14">
        <v>1</v>
      </c>
      <c r="N118" s="15">
        <v>1</v>
      </c>
    </row>
    <row r="119" spans="1:14" x14ac:dyDescent="0.25">
      <c r="A119" s="2"/>
      <c r="B119" s="21">
        <v>5</v>
      </c>
      <c r="C119" s="16">
        <v>1.07</v>
      </c>
      <c r="D119" s="16">
        <v>1.05</v>
      </c>
      <c r="E119" s="16">
        <v>1.04</v>
      </c>
      <c r="F119" s="16">
        <v>1.02</v>
      </c>
      <c r="G119" s="16">
        <v>1.01</v>
      </c>
      <c r="H119" s="16">
        <v>1.01</v>
      </c>
      <c r="I119" s="16">
        <v>1.01</v>
      </c>
      <c r="J119" s="16">
        <v>1.03</v>
      </c>
      <c r="K119" s="16">
        <v>1.05</v>
      </c>
      <c r="L119" s="16">
        <v>1.07</v>
      </c>
      <c r="M119" s="16">
        <v>1.08</v>
      </c>
      <c r="N119" s="17">
        <v>1.08</v>
      </c>
    </row>
    <row r="120" spans="1:14" x14ac:dyDescent="0.25">
      <c r="A120" s="2"/>
      <c r="B120" s="21">
        <v>10</v>
      </c>
      <c r="C120" s="16">
        <v>1.1299999999999999</v>
      </c>
      <c r="D120" s="16">
        <v>1.1000000000000001</v>
      </c>
      <c r="E120" s="16">
        <v>1.07</v>
      </c>
      <c r="F120" s="16">
        <v>1.04</v>
      </c>
      <c r="G120" s="16">
        <v>1.02</v>
      </c>
      <c r="H120" s="16">
        <v>1.01</v>
      </c>
      <c r="I120" s="16">
        <v>1.02</v>
      </c>
      <c r="J120" s="16">
        <v>1.05</v>
      </c>
      <c r="K120" s="16">
        <v>1.08</v>
      </c>
      <c r="L120" s="16">
        <v>1.1299999999999999</v>
      </c>
      <c r="M120" s="16">
        <v>1.1499999999999999</v>
      </c>
      <c r="N120" s="17">
        <v>1.1499999999999999</v>
      </c>
    </row>
    <row r="121" spans="1:14" x14ac:dyDescent="0.25">
      <c r="A121" s="2"/>
      <c r="B121" s="21">
        <v>15</v>
      </c>
      <c r="C121" s="16">
        <v>1.18</v>
      </c>
      <c r="D121" s="16">
        <v>1.1399999999999999</v>
      </c>
      <c r="E121" s="16">
        <v>1.1000000000000001</v>
      </c>
      <c r="F121" s="16">
        <v>1.05</v>
      </c>
      <c r="G121" s="16">
        <v>1.02</v>
      </c>
      <c r="H121" s="16">
        <v>1.01</v>
      </c>
      <c r="I121" s="16">
        <v>1.02</v>
      </c>
      <c r="J121" s="16">
        <v>1.06</v>
      </c>
      <c r="K121" s="16">
        <v>1.1200000000000001</v>
      </c>
      <c r="L121" s="16">
        <v>1.18</v>
      </c>
      <c r="M121" s="16">
        <v>1.22</v>
      </c>
      <c r="N121" s="17">
        <v>1.21</v>
      </c>
    </row>
    <row r="122" spans="1:14" x14ac:dyDescent="0.25">
      <c r="A122" s="2"/>
      <c r="B122" s="21">
        <v>20</v>
      </c>
      <c r="C122" s="16">
        <v>1.22</v>
      </c>
      <c r="D122" s="16">
        <v>1.18</v>
      </c>
      <c r="E122" s="16">
        <v>1.1200000000000001</v>
      </c>
      <c r="F122" s="16">
        <v>1.06</v>
      </c>
      <c r="G122" s="16">
        <v>1.01</v>
      </c>
      <c r="H122" s="16">
        <v>0.99</v>
      </c>
      <c r="I122" s="16">
        <v>1.01</v>
      </c>
      <c r="J122" s="16">
        <v>1.06</v>
      </c>
      <c r="K122" s="16">
        <v>1.1399999999999999</v>
      </c>
      <c r="L122" s="16">
        <v>1.22</v>
      </c>
      <c r="M122" s="16">
        <v>1.28</v>
      </c>
      <c r="N122" s="17">
        <v>1.27</v>
      </c>
    </row>
    <row r="123" spans="1:14" x14ac:dyDescent="0.25">
      <c r="A123" s="2"/>
      <c r="B123" s="21">
        <v>25</v>
      </c>
      <c r="C123" s="16">
        <v>1.26</v>
      </c>
      <c r="D123" s="16">
        <v>1.2</v>
      </c>
      <c r="E123" s="16">
        <v>1.1299999999999999</v>
      </c>
      <c r="F123" s="16">
        <v>1.05</v>
      </c>
      <c r="G123" s="16">
        <v>1</v>
      </c>
      <c r="H123" s="16">
        <v>0.98</v>
      </c>
      <c r="I123" s="16">
        <v>1</v>
      </c>
      <c r="J123" s="16">
        <v>1.06</v>
      </c>
      <c r="K123" s="16">
        <v>1.1599999999999999</v>
      </c>
      <c r="L123" s="16">
        <v>1.26</v>
      </c>
      <c r="M123" s="16">
        <v>1.33</v>
      </c>
      <c r="N123" s="17">
        <v>1.32</v>
      </c>
    </row>
    <row r="124" spans="1:14" x14ac:dyDescent="0.25">
      <c r="A124" s="2"/>
      <c r="B124" s="21">
        <v>30</v>
      </c>
      <c r="C124" s="16">
        <v>1.29</v>
      </c>
      <c r="D124" s="16">
        <v>1.22</v>
      </c>
      <c r="E124" s="16">
        <v>1.1299999999999999</v>
      </c>
      <c r="F124" s="16">
        <v>1.04</v>
      </c>
      <c r="G124" s="16">
        <v>0.98</v>
      </c>
      <c r="H124" s="16">
        <v>0.95</v>
      </c>
      <c r="I124" s="16">
        <v>0.98</v>
      </c>
      <c r="J124" s="16">
        <v>1.05</v>
      </c>
      <c r="K124" s="16">
        <v>1.1599999999999999</v>
      </c>
      <c r="L124" s="16">
        <v>1.29</v>
      </c>
      <c r="M124" s="16">
        <v>1.37</v>
      </c>
      <c r="N124" s="17">
        <v>1.36</v>
      </c>
    </row>
    <row r="125" spans="1:14" x14ac:dyDescent="0.25">
      <c r="A125" s="2"/>
      <c r="B125" s="21">
        <v>35</v>
      </c>
      <c r="C125" s="16">
        <v>1.32</v>
      </c>
      <c r="D125" s="16">
        <v>1.23</v>
      </c>
      <c r="E125" s="16">
        <v>1.1299999999999999</v>
      </c>
      <c r="F125" s="16">
        <v>1.02</v>
      </c>
      <c r="G125" s="16">
        <v>0.95</v>
      </c>
      <c r="H125" s="16">
        <v>0.92</v>
      </c>
      <c r="I125" s="16">
        <v>0.95</v>
      </c>
      <c r="J125" s="16">
        <v>1.03</v>
      </c>
      <c r="K125" s="16">
        <v>1.1599999999999999</v>
      </c>
      <c r="L125" s="16">
        <v>1.31</v>
      </c>
      <c r="M125" s="16">
        <v>1.4</v>
      </c>
      <c r="N125" s="17">
        <v>1.39</v>
      </c>
    </row>
    <row r="126" spans="1:14" x14ac:dyDescent="0.25">
      <c r="A126" s="2"/>
      <c r="B126" s="21">
        <v>40</v>
      </c>
      <c r="C126" s="16">
        <v>1.33</v>
      </c>
      <c r="D126" s="16">
        <v>1.24</v>
      </c>
      <c r="E126" s="16">
        <v>1.1200000000000001</v>
      </c>
      <c r="F126" s="16">
        <v>0.91</v>
      </c>
      <c r="G126" s="16">
        <v>0.88</v>
      </c>
      <c r="H126" s="16">
        <v>0.91</v>
      </c>
      <c r="I126" s="16">
        <v>1.01</v>
      </c>
      <c r="J126" s="16">
        <v>1.1599999999999999</v>
      </c>
      <c r="K126" s="16">
        <v>1.32</v>
      </c>
      <c r="L126" s="16">
        <v>1.32</v>
      </c>
      <c r="M126" s="16">
        <v>1.43</v>
      </c>
      <c r="N126" s="17">
        <v>1.41</v>
      </c>
    </row>
    <row r="127" spans="1:14" x14ac:dyDescent="0.25">
      <c r="A127" s="2"/>
      <c r="B127" s="21">
        <v>45</v>
      </c>
      <c r="C127" s="16">
        <v>1.34</v>
      </c>
      <c r="D127" s="16">
        <v>1.23</v>
      </c>
      <c r="E127" s="16">
        <v>1.1000000000000001</v>
      </c>
      <c r="F127" s="16">
        <v>0.97</v>
      </c>
      <c r="G127" s="16">
        <v>0.87</v>
      </c>
      <c r="H127" s="16">
        <v>0.84</v>
      </c>
      <c r="I127" s="16">
        <v>0.87</v>
      </c>
      <c r="J127" s="16">
        <v>0.98</v>
      </c>
      <c r="K127" s="16">
        <v>1.1399999999999999</v>
      </c>
      <c r="L127" s="16">
        <v>1.32</v>
      </c>
      <c r="M127" s="16">
        <v>1.44</v>
      </c>
      <c r="N127" s="17">
        <v>1.43</v>
      </c>
    </row>
    <row r="128" spans="1:14" x14ac:dyDescent="0.25">
      <c r="A128" s="2"/>
      <c r="B128" s="21">
        <v>50</v>
      </c>
      <c r="C128" s="16">
        <v>1.34</v>
      </c>
      <c r="D128" s="16">
        <v>1.22</v>
      </c>
      <c r="E128" s="16">
        <v>1.08</v>
      </c>
      <c r="F128" s="16">
        <v>0.93</v>
      </c>
      <c r="G128" s="16">
        <v>0.82</v>
      </c>
      <c r="H128" s="16">
        <v>0.78</v>
      </c>
      <c r="I128" s="16">
        <v>0.82</v>
      </c>
      <c r="J128" s="16">
        <v>0.94</v>
      </c>
      <c r="K128" s="16">
        <v>1.1200000000000001</v>
      </c>
      <c r="L128" s="17">
        <v>1.31</v>
      </c>
      <c r="M128" s="16">
        <v>1.45</v>
      </c>
      <c r="N128" s="17">
        <v>1.44</v>
      </c>
    </row>
    <row r="129" spans="1:14" x14ac:dyDescent="0.25">
      <c r="A129" s="2"/>
      <c r="B129" s="21">
        <v>55</v>
      </c>
      <c r="C129" s="16">
        <v>1.33</v>
      </c>
      <c r="D129" s="16">
        <v>1.2</v>
      </c>
      <c r="E129" s="16">
        <v>1.05</v>
      </c>
      <c r="F129" s="16">
        <v>0.89</v>
      </c>
      <c r="G129" s="16">
        <v>0.77</v>
      </c>
      <c r="H129" s="16">
        <v>0.73</v>
      </c>
      <c r="I129" s="16">
        <v>0.77</v>
      </c>
      <c r="J129" s="16">
        <v>0.9</v>
      </c>
      <c r="K129" s="16">
        <v>1.08</v>
      </c>
      <c r="L129" s="17">
        <v>1.3</v>
      </c>
      <c r="M129" s="16">
        <v>1.44</v>
      </c>
      <c r="N129" s="17">
        <v>1.43</v>
      </c>
    </row>
    <row r="130" spans="1:14" x14ac:dyDescent="0.25">
      <c r="A130" s="2"/>
      <c r="B130" s="21">
        <v>60</v>
      </c>
      <c r="C130" s="16">
        <v>1.31</v>
      </c>
      <c r="D130" s="16">
        <v>1.17</v>
      </c>
      <c r="E130" s="16">
        <v>1.01</v>
      </c>
      <c r="F130" s="16">
        <v>1.84</v>
      </c>
      <c r="G130" s="16">
        <v>0.71</v>
      </c>
      <c r="H130" s="16">
        <v>0.67</v>
      </c>
      <c r="I130" s="16">
        <v>0.71</v>
      </c>
      <c r="J130" s="16">
        <v>0.84</v>
      </c>
      <c r="K130" s="16">
        <v>1.05</v>
      </c>
      <c r="L130" s="16">
        <v>1.27</v>
      </c>
      <c r="M130" s="16">
        <v>1.43</v>
      </c>
      <c r="N130" s="17">
        <v>1.42</v>
      </c>
    </row>
    <row r="131" spans="1:14" x14ac:dyDescent="0.25">
      <c r="A131" s="2"/>
      <c r="B131" s="21">
        <v>65</v>
      </c>
      <c r="C131" s="16">
        <v>1.29</v>
      </c>
      <c r="D131" s="16">
        <v>1.1399999999999999</v>
      </c>
      <c r="E131" s="16">
        <v>0.96</v>
      </c>
      <c r="F131" s="16">
        <v>0.78</v>
      </c>
      <c r="G131" s="16">
        <v>0.65</v>
      </c>
      <c r="H131" s="16">
        <v>0.6</v>
      </c>
      <c r="I131" s="16">
        <v>0.65</v>
      </c>
      <c r="J131" s="16">
        <v>0.79</v>
      </c>
      <c r="K131" s="16">
        <v>1</v>
      </c>
      <c r="L131" s="16">
        <v>1.24</v>
      </c>
      <c r="M131" s="16">
        <v>1.41</v>
      </c>
      <c r="N131" s="17">
        <v>1.4</v>
      </c>
    </row>
    <row r="132" spans="1:14" x14ac:dyDescent="0.25">
      <c r="A132" s="2"/>
      <c r="B132" s="21">
        <v>70</v>
      </c>
      <c r="C132" s="16">
        <v>1.25</v>
      </c>
      <c r="D132" s="16">
        <v>1.1000000000000001</v>
      </c>
      <c r="E132" s="16">
        <v>0.91</v>
      </c>
      <c r="F132" s="16">
        <v>0.72</v>
      </c>
      <c r="G132" s="16">
        <v>0.59</v>
      </c>
      <c r="H132" s="16">
        <v>0.53</v>
      </c>
      <c r="I132" s="16">
        <v>0.57999999999999996</v>
      </c>
      <c r="J132" s="16">
        <v>0.73</v>
      </c>
      <c r="K132" s="16">
        <v>0.95</v>
      </c>
      <c r="L132" s="16">
        <v>1.2</v>
      </c>
      <c r="M132" s="16">
        <v>1.37</v>
      </c>
      <c r="N132" s="17">
        <v>1.37</v>
      </c>
    </row>
    <row r="133" spans="1:14" x14ac:dyDescent="0.25">
      <c r="A133" s="2"/>
      <c r="B133" s="21">
        <v>75</v>
      </c>
      <c r="C133" s="16">
        <v>1.21</v>
      </c>
      <c r="D133" s="16">
        <v>1.05</v>
      </c>
      <c r="E133" s="16">
        <v>0.85</v>
      </c>
      <c r="F133" s="16">
        <v>0.66</v>
      </c>
      <c r="G133" s="16">
        <v>0.52</v>
      </c>
      <c r="H133" s="16">
        <v>0.46</v>
      </c>
      <c r="I133" s="16">
        <v>0.51</v>
      </c>
      <c r="J133" s="16">
        <v>0.66</v>
      </c>
      <c r="K133" s="16">
        <v>0.89</v>
      </c>
      <c r="L133" s="16">
        <v>1.1499999999999999</v>
      </c>
      <c r="M133" s="16">
        <v>1.33</v>
      </c>
      <c r="N133" s="17">
        <v>1.33</v>
      </c>
    </row>
    <row r="134" spans="1:14" x14ac:dyDescent="0.25">
      <c r="A134" s="2"/>
      <c r="B134" s="21">
        <v>80</v>
      </c>
      <c r="C134" s="16">
        <v>1.1599999999999999</v>
      </c>
      <c r="D134" s="16">
        <v>1</v>
      </c>
      <c r="E134" s="16">
        <v>0.79</v>
      </c>
      <c r="F134" s="16">
        <v>0.59</v>
      </c>
      <c r="G134" s="16">
        <v>0.44</v>
      </c>
      <c r="H134" s="16">
        <v>0.39</v>
      </c>
      <c r="I134" s="16">
        <v>0.44</v>
      </c>
      <c r="J134" s="16">
        <v>0.59</v>
      </c>
      <c r="K134" s="16">
        <v>0.82</v>
      </c>
      <c r="L134" s="16">
        <v>1.0900000000000001</v>
      </c>
      <c r="M134" s="16">
        <v>1.28</v>
      </c>
      <c r="N134" s="17">
        <v>1.29</v>
      </c>
    </row>
    <row r="135" spans="1:14" x14ac:dyDescent="0.25">
      <c r="A135" s="2"/>
      <c r="B135" s="21">
        <v>85</v>
      </c>
      <c r="C135" s="16">
        <v>1.1100000000000001</v>
      </c>
      <c r="D135" s="16">
        <v>0.94</v>
      </c>
      <c r="E135" s="16">
        <v>0.73</v>
      </c>
      <c r="F135" s="16">
        <v>0.52</v>
      </c>
      <c r="G135" s="16">
        <v>0.37</v>
      </c>
      <c r="H135" s="16">
        <v>0.31</v>
      </c>
      <c r="I135" s="16">
        <v>0.36</v>
      </c>
      <c r="J135" s="16">
        <v>0.51</v>
      </c>
      <c r="K135" s="16">
        <v>0.75</v>
      </c>
      <c r="L135" s="16">
        <v>1.03</v>
      </c>
      <c r="M135" s="16">
        <v>1.23</v>
      </c>
      <c r="N135" s="17">
        <v>1.23</v>
      </c>
    </row>
    <row r="136" spans="1:14" ht="15.75" thickBot="1" x14ac:dyDescent="0.3">
      <c r="A136" s="2"/>
      <c r="B136" s="22">
        <v>90</v>
      </c>
      <c r="C136" s="18">
        <v>1.05</v>
      </c>
      <c r="D136" s="18">
        <v>0.87</v>
      </c>
      <c r="E136" s="18">
        <v>0.65</v>
      </c>
      <c r="F136" s="18">
        <v>0.44</v>
      </c>
      <c r="G136" s="18">
        <v>0.28999999999999998</v>
      </c>
      <c r="H136" s="18">
        <v>0.23</v>
      </c>
      <c r="I136" s="18">
        <v>0.28000000000000003</v>
      </c>
      <c r="J136" s="18">
        <v>0.44</v>
      </c>
      <c r="K136" s="18">
        <v>0.68</v>
      </c>
      <c r="L136" s="18">
        <v>0.96</v>
      </c>
      <c r="M136" s="18">
        <v>1.1599999999999999</v>
      </c>
      <c r="N136" s="19">
        <v>1.17</v>
      </c>
    </row>
    <row r="137" spans="1:14" ht="15.75" thickTop="1" x14ac:dyDescent="0.25">
      <c r="A137" s="2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5.75" thickBot="1" x14ac:dyDescent="0.3">
      <c r="A138" s="2"/>
      <c r="B138" s="25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.75" thickTop="1" x14ac:dyDescent="0.25">
      <c r="A139" s="2"/>
      <c r="B139" s="27" t="s">
        <v>214</v>
      </c>
      <c r="C139" s="28" t="s">
        <v>196</v>
      </c>
      <c r="D139" s="28" t="s">
        <v>197</v>
      </c>
      <c r="E139" s="28" t="s">
        <v>198</v>
      </c>
      <c r="F139" s="28" t="s">
        <v>199</v>
      </c>
      <c r="G139" s="28" t="s">
        <v>200</v>
      </c>
      <c r="H139" s="28" t="s">
        <v>201</v>
      </c>
      <c r="I139" s="28" t="s">
        <v>202</v>
      </c>
      <c r="J139" s="28" t="s">
        <v>203</v>
      </c>
      <c r="K139" s="28" t="s">
        <v>204</v>
      </c>
      <c r="L139" s="28" t="s">
        <v>205</v>
      </c>
      <c r="M139" s="28" t="s">
        <v>206</v>
      </c>
      <c r="N139" s="29" t="s">
        <v>207</v>
      </c>
    </row>
    <row r="140" spans="1:14" ht="15.75" thickBot="1" x14ac:dyDescent="0.3">
      <c r="A140" s="2"/>
      <c r="B140" s="11" t="s">
        <v>208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3"/>
    </row>
    <row r="141" spans="1:14" ht="15.75" thickTop="1" x14ac:dyDescent="0.25">
      <c r="A141" s="2"/>
      <c r="B141" s="20">
        <v>0</v>
      </c>
      <c r="C141" s="14">
        <v>1</v>
      </c>
      <c r="D141" s="14">
        <v>1</v>
      </c>
      <c r="E141" s="14">
        <v>1</v>
      </c>
      <c r="F141" s="14">
        <v>1</v>
      </c>
      <c r="G141" s="14">
        <v>1</v>
      </c>
      <c r="H141" s="14">
        <v>1</v>
      </c>
      <c r="I141" s="14">
        <v>1</v>
      </c>
      <c r="J141" s="14">
        <v>1</v>
      </c>
      <c r="K141" s="14">
        <v>1</v>
      </c>
      <c r="L141" s="14">
        <v>1</v>
      </c>
      <c r="M141" s="14">
        <v>1</v>
      </c>
      <c r="N141" s="15">
        <v>1</v>
      </c>
    </row>
    <row r="142" spans="1:14" x14ac:dyDescent="0.25">
      <c r="A142" s="2"/>
      <c r="B142" s="21">
        <v>5</v>
      </c>
      <c r="C142" s="16">
        <v>1.07</v>
      </c>
      <c r="D142" s="16">
        <v>1.06</v>
      </c>
      <c r="E142" s="16">
        <v>1.04</v>
      </c>
      <c r="F142" s="16">
        <v>1.03</v>
      </c>
      <c r="G142" s="16">
        <v>1.01</v>
      </c>
      <c r="H142" s="16">
        <v>1.01</v>
      </c>
      <c r="I142" s="16">
        <v>1.02</v>
      </c>
      <c r="J142" s="16">
        <v>1.03</v>
      </c>
      <c r="K142" s="16">
        <v>1.05</v>
      </c>
      <c r="L142" s="16">
        <v>1.07</v>
      </c>
      <c r="M142" s="16">
        <v>1.08</v>
      </c>
      <c r="N142" s="17">
        <v>1.08</v>
      </c>
    </row>
    <row r="143" spans="1:14" x14ac:dyDescent="0.25">
      <c r="A143" s="2"/>
      <c r="B143" s="21">
        <v>10</v>
      </c>
      <c r="C143" s="16">
        <v>1.1299999999999999</v>
      </c>
      <c r="D143" s="16">
        <v>1.1000000000000001</v>
      </c>
      <c r="E143" s="16">
        <v>1.08</v>
      </c>
      <c r="F143" s="16">
        <v>1.05</v>
      </c>
      <c r="G143" s="16">
        <v>1.02</v>
      </c>
      <c r="H143" s="16">
        <v>1.01</v>
      </c>
      <c r="I143" s="16">
        <v>1.02</v>
      </c>
      <c r="J143" s="16">
        <v>1.05</v>
      </c>
      <c r="K143" s="16">
        <v>1.0900000000000001</v>
      </c>
      <c r="L143" s="16">
        <v>1.1299999999999999</v>
      </c>
      <c r="M143" s="16">
        <v>1.1599999999999999</v>
      </c>
      <c r="N143" s="17">
        <v>1.1499999999999999</v>
      </c>
    </row>
    <row r="144" spans="1:14" x14ac:dyDescent="0.25">
      <c r="A144" s="2"/>
      <c r="B144" s="21">
        <v>15</v>
      </c>
      <c r="C144" s="16">
        <v>1.18</v>
      </c>
      <c r="D144" s="16">
        <v>1.1499999999999999</v>
      </c>
      <c r="E144" s="16">
        <v>1.1000000000000001</v>
      </c>
      <c r="F144" s="16">
        <v>1.06</v>
      </c>
      <c r="G144" s="16">
        <v>1.02</v>
      </c>
      <c r="H144" s="16">
        <v>1.01</v>
      </c>
      <c r="I144" s="16">
        <v>1.02</v>
      </c>
      <c r="J144" s="16">
        <v>1.06</v>
      </c>
      <c r="K144" s="16">
        <v>1.1200000000000001</v>
      </c>
      <c r="L144" s="16">
        <v>1.19</v>
      </c>
      <c r="M144" s="16">
        <v>1.23</v>
      </c>
      <c r="N144" s="17">
        <v>1.22</v>
      </c>
    </row>
    <row r="145" spans="1:14" x14ac:dyDescent="0.25">
      <c r="A145" s="2"/>
      <c r="B145" s="21">
        <v>20</v>
      </c>
      <c r="C145" s="16">
        <v>1.23</v>
      </c>
      <c r="D145" s="16">
        <v>1.18</v>
      </c>
      <c r="E145" s="16">
        <v>1.1200000000000001</v>
      </c>
      <c r="F145" s="16">
        <v>1.06</v>
      </c>
      <c r="G145" s="16">
        <v>1.02</v>
      </c>
      <c r="H145" s="16">
        <v>1</v>
      </c>
      <c r="I145" s="16">
        <v>1.02</v>
      </c>
      <c r="J145" s="16">
        <v>1.07</v>
      </c>
      <c r="K145" s="16">
        <v>1.1499999999999999</v>
      </c>
      <c r="L145" s="16">
        <v>1.23</v>
      </c>
      <c r="M145" s="16">
        <v>1.29</v>
      </c>
      <c r="N145" s="17">
        <v>1.28</v>
      </c>
    </row>
    <row r="146" spans="1:14" x14ac:dyDescent="0.25">
      <c r="A146" s="2"/>
      <c r="B146" s="21">
        <v>25</v>
      </c>
      <c r="C146" s="16">
        <v>1.27</v>
      </c>
      <c r="D146" s="16">
        <v>1.21</v>
      </c>
      <c r="E146" s="16">
        <v>1.1399999999999999</v>
      </c>
      <c r="F146" s="16">
        <v>1.06</v>
      </c>
      <c r="G146" s="16">
        <v>1</v>
      </c>
      <c r="H146" s="16">
        <v>0.98</v>
      </c>
      <c r="I146" s="16">
        <v>1</v>
      </c>
      <c r="J146" s="16">
        <v>1.07</v>
      </c>
      <c r="K146" s="16">
        <v>1.1599999999999999</v>
      </c>
      <c r="L146" s="16">
        <v>1.27</v>
      </c>
      <c r="M146" s="16">
        <v>1.34</v>
      </c>
      <c r="N146" s="17">
        <v>1.33</v>
      </c>
    </row>
    <row r="147" spans="1:14" x14ac:dyDescent="0.25">
      <c r="A147" s="2"/>
      <c r="B147" s="21">
        <v>30</v>
      </c>
      <c r="C147" s="16">
        <v>1.3</v>
      </c>
      <c r="D147" s="16">
        <v>1.23</v>
      </c>
      <c r="E147" s="16">
        <v>1.1399999999999999</v>
      </c>
      <c r="F147" s="16">
        <v>1.05</v>
      </c>
      <c r="G147" s="16">
        <v>0.98</v>
      </c>
      <c r="H147" s="16">
        <v>0.96</v>
      </c>
      <c r="I147" s="16">
        <v>0.98</v>
      </c>
      <c r="J147" s="16">
        <v>1.06</v>
      </c>
      <c r="K147" s="16">
        <v>1.17</v>
      </c>
      <c r="L147" s="16">
        <v>1.3</v>
      </c>
      <c r="M147" s="16">
        <v>1.38</v>
      </c>
      <c r="N147" s="17">
        <v>1.37</v>
      </c>
    </row>
    <row r="148" spans="1:14" x14ac:dyDescent="0.25">
      <c r="A148" s="2"/>
      <c r="B148" s="21">
        <v>35</v>
      </c>
      <c r="C148" s="16">
        <v>1.33</v>
      </c>
      <c r="D148" s="16">
        <v>1.24</v>
      </c>
      <c r="E148" s="16">
        <v>1.1399999999999999</v>
      </c>
      <c r="F148" s="16">
        <v>1.03</v>
      </c>
      <c r="G148" s="16">
        <v>0.96</v>
      </c>
      <c r="H148" s="16">
        <v>0.93</v>
      </c>
      <c r="I148" s="16">
        <v>0.96</v>
      </c>
      <c r="J148" s="16">
        <v>1.04</v>
      </c>
      <c r="K148" s="16">
        <v>1.17</v>
      </c>
      <c r="L148" s="16">
        <v>1.32</v>
      </c>
      <c r="M148" s="16">
        <v>1.42</v>
      </c>
      <c r="N148" s="17">
        <v>1.41</v>
      </c>
    </row>
    <row r="149" spans="1:14" x14ac:dyDescent="0.25">
      <c r="A149" s="2"/>
      <c r="B149" s="21">
        <v>40</v>
      </c>
      <c r="C149" s="16">
        <v>1.35</v>
      </c>
      <c r="D149" s="16">
        <v>1.25</v>
      </c>
      <c r="E149" s="16">
        <v>1.1299999999999999</v>
      </c>
      <c r="F149" s="16">
        <v>1.01</v>
      </c>
      <c r="G149" s="16">
        <v>0.93</v>
      </c>
      <c r="H149" s="16">
        <v>0.89</v>
      </c>
      <c r="I149" s="16">
        <v>0.92</v>
      </c>
      <c r="J149" s="16">
        <v>1.02</v>
      </c>
      <c r="K149" s="16">
        <v>1.17</v>
      </c>
      <c r="L149" s="16">
        <v>1.34</v>
      </c>
      <c r="M149" s="16">
        <v>1.44</v>
      </c>
      <c r="N149" s="17">
        <v>1.43</v>
      </c>
    </row>
    <row r="150" spans="1:14" x14ac:dyDescent="0.25">
      <c r="A150" s="2"/>
      <c r="B150" s="21">
        <v>45</v>
      </c>
      <c r="C150" s="16">
        <v>1.35</v>
      </c>
      <c r="D150" s="16">
        <v>1.25</v>
      </c>
      <c r="E150" s="16">
        <v>1.1100000000000001</v>
      </c>
      <c r="F150" s="16">
        <v>0.98</v>
      </c>
      <c r="G150" s="16">
        <v>0.89</v>
      </c>
      <c r="H150" s="16">
        <v>0.85</v>
      </c>
      <c r="I150" s="16">
        <v>0.88</v>
      </c>
      <c r="J150" s="16">
        <v>0.99</v>
      </c>
      <c r="K150" s="16">
        <v>1.1499999999999999</v>
      </c>
      <c r="L150" s="16">
        <v>1.34</v>
      </c>
      <c r="M150" s="16">
        <v>1.46</v>
      </c>
      <c r="N150" s="17">
        <v>1.45</v>
      </c>
    </row>
    <row r="151" spans="1:14" x14ac:dyDescent="0.25">
      <c r="A151" s="2"/>
      <c r="B151" s="21">
        <v>50</v>
      </c>
      <c r="C151" s="16">
        <v>1.35</v>
      </c>
      <c r="D151" s="16">
        <v>1.24</v>
      </c>
      <c r="E151" s="16">
        <v>1.0900000000000001</v>
      </c>
      <c r="F151" s="16">
        <v>0.94</v>
      </c>
      <c r="G151" s="16">
        <v>0.85</v>
      </c>
      <c r="H151" s="16">
        <v>0.8</v>
      </c>
      <c r="I151" s="16">
        <v>0.84</v>
      </c>
      <c r="J151" s="16">
        <v>0.95</v>
      </c>
      <c r="K151" s="16">
        <v>1.1299999999999999</v>
      </c>
      <c r="L151" s="16">
        <v>1.33</v>
      </c>
      <c r="M151" s="16">
        <v>1.47</v>
      </c>
      <c r="N151" s="17">
        <v>1.46</v>
      </c>
    </row>
    <row r="152" spans="1:14" x14ac:dyDescent="0.25">
      <c r="A152" s="2"/>
      <c r="B152" s="21">
        <v>55</v>
      </c>
      <c r="C152" s="16">
        <v>1.35</v>
      </c>
      <c r="D152" s="16">
        <v>1.22</v>
      </c>
      <c r="E152" s="16">
        <v>1.06</v>
      </c>
      <c r="F152" s="16">
        <v>0.9</v>
      </c>
      <c r="G152" s="16">
        <v>0.8</v>
      </c>
      <c r="H152" s="16">
        <v>0.74</v>
      </c>
      <c r="I152" s="16">
        <v>0.78</v>
      </c>
      <c r="J152" s="16">
        <v>0.91</v>
      </c>
      <c r="K152" s="16">
        <v>1.1000000000000001</v>
      </c>
      <c r="L152" s="16">
        <v>1.32</v>
      </c>
      <c r="M152" s="16">
        <v>1.47</v>
      </c>
      <c r="N152" s="17">
        <v>1.45</v>
      </c>
    </row>
    <row r="153" spans="1:14" x14ac:dyDescent="0.25">
      <c r="A153" s="2"/>
      <c r="B153" s="21">
        <v>60</v>
      </c>
      <c r="C153" s="16">
        <v>1.33</v>
      </c>
      <c r="D153" s="16">
        <v>1.19</v>
      </c>
      <c r="E153" s="16">
        <v>1.02</v>
      </c>
      <c r="F153" s="16">
        <v>0.85</v>
      </c>
      <c r="G153" s="16">
        <v>0.74</v>
      </c>
      <c r="H153" s="16">
        <v>0.68</v>
      </c>
      <c r="I153" s="16">
        <v>0.73</v>
      </c>
      <c r="J153" s="16">
        <v>0.86</v>
      </c>
      <c r="K153" s="16">
        <v>1.06</v>
      </c>
      <c r="L153" s="16">
        <v>1.3</v>
      </c>
      <c r="M153" s="16">
        <v>1.45</v>
      </c>
      <c r="N153" s="17">
        <v>1.44</v>
      </c>
    </row>
    <row r="154" spans="1:14" x14ac:dyDescent="0.25">
      <c r="A154" s="2"/>
      <c r="B154" s="21">
        <v>65</v>
      </c>
      <c r="C154" s="16">
        <v>1.31</v>
      </c>
      <c r="D154" s="16">
        <v>1.1599999999999999</v>
      </c>
      <c r="E154" s="16">
        <v>0.98</v>
      </c>
      <c r="F154" s="16">
        <v>0.8</v>
      </c>
      <c r="G154" s="16">
        <v>0.68</v>
      </c>
      <c r="H154" s="16">
        <v>0.62</v>
      </c>
      <c r="I154" s="16">
        <v>0.66</v>
      </c>
      <c r="J154" s="16">
        <v>0.8</v>
      </c>
      <c r="K154" s="16">
        <v>1.02</v>
      </c>
      <c r="L154" s="16">
        <v>1.26</v>
      </c>
      <c r="M154" s="16">
        <v>1.43</v>
      </c>
      <c r="N154" s="17">
        <v>1.42</v>
      </c>
    </row>
    <row r="155" spans="1:14" x14ac:dyDescent="0.25">
      <c r="A155" s="2"/>
      <c r="B155" s="21">
        <v>70</v>
      </c>
      <c r="C155" s="16">
        <v>1.27</v>
      </c>
      <c r="D155" s="16">
        <v>1.1200000000000001</v>
      </c>
      <c r="E155" s="16">
        <v>0.93</v>
      </c>
      <c r="F155" s="16">
        <v>0.74</v>
      </c>
      <c r="G155" s="16">
        <v>0.62</v>
      </c>
      <c r="H155" s="16">
        <v>0.55000000000000004</v>
      </c>
      <c r="I155" s="16">
        <v>0.6</v>
      </c>
      <c r="J155" s="16">
        <v>0.74</v>
      </c>
      <c r="K155" s="16">
        <v>0.97</v>
      </c>
      <c r="L155" s="16">
        <v>1.22</v>
      </c>
      <c r="M155" s="16">
        <v>1.4</v>
      </c>
      <c r="N155" s="17">
        <v>1.4</v>
      </c>
    </row>
    <row r="156" spans="1:14" x14ac:dyDescent="0.25">
      <c r="A156" s="2"/>
      <c r="B156" s="21">
        <v>75</v>
      </c>
      <c r="C156" s="16">
        <v>1.23</v>
      </c>
      <c r="D156" s="16">
        <v>1.07</v>
      </c>
      <c r="E156" s="16">
        <v>0.87</v>
      </c>
      <c r="F156" s="16">
        <v>0.67</v>
      </c>
      <c r="G156" s="16">
        <v>0.55000000000000004</v>
      </c>
      <c r="H156" s="16">
        <v>0.48</v>
      </c>
      <c r="I156" s="16">
        <v>0.53</v>
      </c>
      <c r="J156" s="16">
        <v>0.68</v>
      </c>
      <c r="K156" s="16">
        <v>0.91</v>
      </c>
      <c r="L156" s="16">
        <v>1.17</v>
      </c>
      <c r="M156" s="16">
        <v>1.36</v>
      </c>
      <c r="N156" s="17">
        <v>1.36</v>
      </c>
    </row>
    <row r="157" spans="1:14" x14ac:dyDescent="0.25">
      <c r="A157" s="2"/>
      <c r="B157" s="21">
        <v>80</v>
      </c>
      <c r="C157" s="16">
        <v>1.19</v>
      </c>
      <c r="D157" s="16">
        <v>1.02</v>
      </c>
      <c r="E157" s="16">
        <v>0.81</v>
      </c>
      <c r="F157" s="16">
        <v>0.6</v>
      </c>
      <c r="G157" s="16">
        <v>0.48</v>
      </c>
      <c r="H157" s="16">
        <v>0.4</v>
      </c>
      <c r="I157" s="16">
        <v>0.45</v>
      </c>
      <c r="J157" s="16">
        <v>0.6</v>
      </c>
      <c r="K157" s="16">
        <v>0.84</v>
      </c>
      <c r="L157" s="16">
        <v>1.1200000000000001</v>
      </c>
      <c r="M157" s="16">
        <v>1.31</v>
      </c>
      <c r="N157" s="17">
        <v>1.31</v>
      </c>
    </row>
    <row r="158" spans="1:14" x14ac:dyDescent="0.25">
      <c r="A158" s="2"/>
      <c r="B158" s="21">
        <v>85</v>
      </c>
      <c r="C158" s="16">
        <v>1.1299999999999999</v>
      </c>
      <c r="D158" s="16">
        <v>0.96</v>
      </c>
      <c r="E158" s="16">
        <v>0.74</v>
      </c>
      <c r="F158" s="16">
        <v>0.53</v>
      </c>
      <c r="G158" s="16">
        <v>0.4</v>
      </c>
      <c r="H158" s="16">
        <v>0.32</v>
      </c>
      <c r="I158" s="16">
        <v>0.38</v>
      </c>
      <c r="J158" s="16">
        <v>0.53</v>
      </c>
      <c r="K158" s="16">
        <v>0.77</v>
      </c>
      <c r="L158" s="16">
        <v>1.05</v>
      </c>
      <c r="M158" s="16">
        <v>1.26</v>
      </c>
      <c r="N158" s="17">
        <v>1.26</v>
      </c>
    </row>
    <row r="159" spans="1:14" ht="15.75" thickBot="1" x14ac:dyDescent="0.3">
      <c r="A159" s="2"/>
      <c r="B159" s="22">
        <v>90</v>
      </c>
      <c r="C159" s="18">
        <v>1.07</v>
      </c>
      <c r="D159" s="18">
        <v>0.89</v>
      </c>
      <c r="E159" s="18">
        <v>0.67</v>
      </c>
      <c r="F159" s="18">
        <v>0.46</v>
      </c>
      <c r="G159" s="18">
        <v>0.32</v>
      </c>
      <c r="H159" s="18">
        <v>0.25</v>
      </c>
      <c r="I159" s="18">
        <v>0.3</v>
      </c>
      <c r="J159" s="18">
        <v>0.45</v>
      </c>
      <c r="K159" s="18">
        <v>0.7</v>
      </c>
      <c r="L159" s="18">
        <v>0.98</v>
      </c>
      <c r="M159" s="18">
        <v>1.19</v>
      </c>
      <c r="N159" s="19">
        <v>1.2</v>
      </c>
    </row>
    <row r="160" spans="1:14" ht="15.75" thickTop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 thickBo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 thickTop="1" x14ac:dyDescent="0.25">
      <c r="A162" s="2"/>
      <c r="B162" s="8" t="s">
        <v>215</v>
      </c>
      <c r="C162" s="9" t="s">
        <v>196</v>
      </c>
      <c r="D162" s="9" t="s">
        <v>197</v>
      </c>
      <c r="E162" s="9" t="s">
        <v>198</v>
      </c>
      <c r="F162" s="9" t="s">
        <v>199</v>
      </c>
      <c r="G162" s="9" t="s">
        <v>200</v>
      </c>
      <c r="H162" s="9" t="s">
        <v>201</v>
      </c>
      <c r="I162" s="9" t="s">
        <v>202</v>
      </c>
      <c r="J162" s="9" t="s">
        <v>203</v>
      </c>
      <c r="K162" s="9" t="s">
        <v>204</v>
      </c>
      <c r="L162" s="9" t="s">
        <v>205</v>
      </c>
      <c r="M162" s="9" t="s">
        <v>206</v>
      </c>
      <c r="N162" s="10" t="s">
        <v>207</v>
      </c>
    </row>
    <row r="163" spans="1:14" x14ac:dyDescent="0.25">
      <c r="A163" s="2"/>
      <c r="B163" s="27" t="s">
        <v>208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9"/>
    </row>
    <row r="164" spans="1:14" x14ac:dyDescent="0.25">
      <c r="A164" s="2"/>
      <c r="B164" s="30">
        <v>0</v>
      </c>
      <c r="C164" s="16">
        <v>1</v>
      </c>
      <c r="D164" s="16">
        <v>1</v>
      </c>
      <c r="E164" s="16">
        <v>1</v>
      </c>
      <c r="F164" s="16">
        <v>1</v>
      </c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>
        <v>1</v>
      </c>
      <c r="N164" s="17">
        <v>1</v>
      </c>
    </row>
    <row r="165" spans="1:14" x14ac:dyDescent="0.25">
      <c r="A165" s="2"/>
      <c r="B165" s="30">
        <v>5</v>
      </c>
      <c r="C165" s="16">
        <v>1.07</v>
      </c>
      <c r="D165" s="16">
        <v>1.06</v>
      </c>
      <c r="E165" s="16">
        <v>1.04</v>
      </c>
      <c r="F165" s="16">
        <v>1.03</v>
      </c>
      <c r="G165" s="16">
        <v>1.02</v>
      </c>
      <c r="H165" s="16">
        <v>1.01</v>
      </c>
      <c r="I165" s="16">
        <v>1.02</v>
      </c>
      <c r="J165" s="16">
        <v>1.03</v>
      </c>
      <c r="K165" s="16">
        <v>1.05</v>
      </c>
      <c r="L165" s="16">
        <v>1.07</v>
      </c>
      <c r="M165" s="16">
        <v>1.08</v>
      </c>
      <c r="N165" s="17">
        <v>1.08</v>
      </c>
    </row>
    <row r="166" spans="1:14" x14ac:dyDescent="0.25">
      <c r="A166" s="2"/>
      <c r="B166" s="30">
        <v>10</v>
      </c>
      <c r="C166" s="16">
        <v>1.1299999999999999</v>
      </c>
      <c r="D166" s="16">
        <v>1.1100000000000001</v>
      </c>
      <c r="E166" s="16">
        <v>1.08</v>
      </c>
      <c r="F166" s="16">
        <v>1.05</v>
      </c>
      <c r="G166" s="16">
        <v>1.02</v>
      </c>
      <c r="H166" s="16">
        <v>1.02</v>
      </c>
      <c r="I166" s="16">
        <v>1.03</v>
      </c>
      <c r="J166" s="16">
        <v>1.05</v>
      </c>
      <c r="K166" s="16">
        <v>1.0900000000000001</v>
      </c>
      <c r="L166" s="16">
        <v>1.1399999999999999</v>
      </c>
      <c r="M166" s="16">
        <v>1.1599999999999999</v>
      </c>
      <c r="N166" s="17">
        <v>1.1599999999999999</v>
      </c>
    </row>
    <row r="167" spans="1:14" x14ac:dyDescent="0.25">
      <c r="A167" s="2"/>
      <c r="B167" s="30">
        <v>15</v>
      </c>
      <c r="C167" s="16">
        <v>1.19</v>
      </c>
      <c r="D167" s="16">
        <v>1.1499999999999999</v>
      </c>
      <c r="E167" s="16">
        <v>1.1100000000000001</v>
      </c>
      <c r="F167" s="16">
        <v>1.06</v>
      </c>
      <c r="G167" s="16">
        <v>1.03</v>
      </c>
      <c r="H167" s="16">
        <v>1.01</v>
      </c>
      <c r="I167" s="16">
        <v>1.03</v>
      </c>
      <c r="J167" s="16">
        <v>1.07</v>
      </c>
      <c r="K167" s="16">
        <v>1.1299999999999999</v>
      </c>
      <c r="L167" s="16">
        <v>1.19</v>
      </c>
      <c r="M167" s="16">
        <v>1.23</v>
      </c>
      <c r="N167" s="17">
        <v>1.22</v>
      </c>
    </row>
    <row r="168" spans="1:14" x14ac:dyDescent="0.25">
      <c r="A168" s="2"/>
      <c r="B168" s="30">
        <v>20</v>
      </c>
      <c r="C168" s="16">
        <v>0.24</v>
      </c>
      <c r="D168" s="16">
        <v>1.19</v>
      </c>
      <c r="E168" s="16">
        <v>1.1299999999999999</v>
      </c>
      <c r="F168" s="16">
        <v>1.07</v>
      </c>
      <c r="G168" s="16">
        <v>1.02</v>
      </c>
      <c r="H168" s="16">
        <v>1.01</v>
      </c>
      <c r="I168" s="16">
        <v>1.02</v>
      </c>
      <c r="J168" s="16">
        <v>1.07</v>
      </c>
      <c r="K168" s="16">
        <v>1.1499999999999999</v>
      </c>
      <c r="L168" s="16">
        <v>1.24</v>
      </c>
      <c r="M168" s="16">
        <v>1.3</v>
      </c>
      <c r="N168" s="17">
        <v>1.29</v>
      </c>
    </row>
    <row r="169" spans="1:14" x14ac:dyDescent="0.25">
      <c r="A169" s="2"/>
      <c r="B169" s="30">
        <v>25</v>
      </c>
      <c r="C169" s="16">
        <v>1.28</v>
      </c>
      <c r="D169" s="16">
        <v>1.22</v>
      </c>
      <c r="E169" s="16">
        <v>1.1399999999999999</v>
      </c>
      <c r="F169" s="16">
        <v>1.07</v>
      </c>
      <c r="G169" s="16">
        <v>1.01</v>
      </c>
      <c r="H169" s="16">
        <v>0.99</v>
      </c>
      <c r="I169" s="16">
        <v>1.01</v>
      </c>
      <c r="J169" s="16">
        <v>1.08</v>
      </c>
      <c r="K169" s="16">
        <v>1.17</v>
      </c>
      <c r="L169" s="16">
        <v>1.28</v>
      </c>
      <c r="M169" s="16">
        <v>1.35</v>
      </c>
      <c r="N169" s="17">
        <v>1.34</v>
      </c>
    </row>
    <row r="170" spans="1:14" x14ac:dyDescent="0.25">
      <c r="A170" s="2"/>
      <c r="B170" s="30">
        <v>30</v>
      </c>
      <c r="C170" s="16">
        <v>1.31</v>
      </c>
      <c r="D170" s="16">
        <v>1.24</v>
      </c>
      <c r="E170" s="16">
        <v>1.1499999999999999</v>
      </c>
      <c r="F170" s="16">
        <v>1.06</v>
      </c>
      <c r="G170" s="16">
        <v>0.99</v>
      </c>
      <c r="H170" s="16">
        <v>0.97</v>
      </c>
      <c r="I170" s="16">
        <v>0.99</v>
      </c>
      <c r="J170" s="16">
        <v>1.07</v>
      </c>
      <c r="K170" s="16">
        <v>1.18</v>
      </c>
      <c r="L170" s="16">
        <v>1.31</v>
      </c>
      <c r="M170" s="16">
        <v>1.4</v>
      </c>
      <c r="N170" s="17">
        <v>1.38</v>
      </c>
    </row>
    <row r="171" spans="1:14" x14ac:dyDescent="0.25">
      <c r="A171" s="2"/>
      <c r="B171" s="30">
        <v>35</v>
      </c>
      <c r="C171" s="16">
        <v>1.34</v>
      </c>
      <c r="D171" s="16">
        <v>1.25</v>
      </c>
      <c r="E171" s="16">
        <v>1.1499999999999999</v>
      </c>
      <c r="F171" s="16">
        <v>1.04</v>
      </c>
      <c r="G171" s="16">
        <v>0.96</v>
      </c>
      <c r="H171" s="16">
        <v>0.94</v>
      </c>
      <c r="I171" s="16">
        <v>0.97</v>
      </c>
      <c r="J171" s="16">
        <v>1.05</v>
      </c>
      <c r="K171" s="16">
        <v>1.19</v>
      </c>
      <c r="L171" s="16">
        <v>1.34</v>
      </c>
      <c r="M171" s="16">
        <v>1.43</v>
      </c>
      <c r="N171" s="17">
        <v>1.42</v>
      </c>
    </row>
    <row r="172" spans="1:14" x14ac:dyDescent="0.25">
      <c r="A172" s="2"/>
      <c r="B172" s="30">
        <v>40</v>
      </c>
      <c r="C172" s="16">
        <v>1.36</v>
      </c>
      <c r="D172" s="16">
        <v>1.26</v>
      </c>
      <c r="E172" s="16">
        <v>1.1399999999999999</v>
      </c>
      <c r="F172" s="16">
        <v>1.02</v>
      </c>
      <c r="G172" s="16">
        <v>0.93</v>
      </c>
      <c r="H172" s="16">
        <v>0.9</v>
      </c>
      <c r="I172" s="16">
        <v>0.93</v>
      </c>
      <c r="J172" s="16">
        <v>1.03</v>
      </c>
      <c r="K172" s="16">
        <v>1.18</v>
      </c>
      <c r="L172" s="16">
        <v>1.35</v>
      </c>
      <c r="M172" s="16">
        <v>1.46</v>
      </c>
      <c r="N172" s="17">
        <v>1.45</v>
      </c>
    </row>
    <row r="173" spans="1:14" x14ac:dyDescent="0.25">
      <c r="A173" s="2"/>
      <c r="B173" s="30">
        <v>45</v>
      </c>
      <c r="C173" s="16">
        <v>1.37</v>
      </c>
      <c r="D173" s="16">
        <v>1.26</v>
      </c>
      <c r="E173" s="16">
        <v>1.1299999999999999</v>
      </c>
      <c r="F173" s="16">
        <v>0.99</v>
      </c>
      <c r="G173" s="16">
        <v>0.89</v>
      </c>
      <c r="H173" s="16">
        <v>0.86</v>
      </c>
      <c r="I173" s="16">
        <v>0.89</v>
      </c>
      <c r="J173" s="16">
        <v>1</v>
      </c>
      <c r="K173" s="16">
        <v>1.17</v>
      </c>
      <c r="L173" s="16">
        <v>1.36</v>
      </c>
      <c r="M173" s="16">
        <v>1.48</v>
      </c>
      <c r="N173" s="17">
        <v>1.47</v>
      </c>
    </row>
    <row r="174" spans="1:14" x14ac:dyDescent="0.25">
      <c r="A174" s="2"/>
      <c r="B174" s="30">
        <v>50</v>
      </c>
      <c r="C174" s="16">
        <v>1.37</v>
      </c>
      <c r="D174" s="16">
        <v>1.25</v>
      </c>
      <c r="E174" s="16">
        <v>1.1000000000000001</v>
      </c>
      <c r="F174" s="16">
        <v>0.96</v>
      </c>
      <c r="G174" s="16">
        <v>0.85</v>
      </c>
      <c r="H174" s="16">
        <v>0.81</v>
      </c>
      <c r="I174" s="16">
        <v>0.85</v>
      </c>
      <c r="J174" s="16">
        <v>0.97</v>
      </c>
      <c r="K174" s="16">
        <v>1.1499999999999999</v>
      </c>
      <c r="L174" s="16">
        <v>1.35</v>
      </c>
      <c r="M174" s="16">
        <v>1.49</v>
      </c>
      <c r="N174" s="17">
        <v>1.48</v>
      </c>
    </row>
    <row r="175" spans="1:14" x14ac:dyDescent="0.25">
      <c r="A175" s="2"/>
      <c r="B175" s="30">
        <v>55</v>
      </c>
      <c r="C175" s="16">
        <v>1.36</v>
      </c>
      <c r="D175" s="16">
        <v>1.23</v>
      </c>
      <c r="E175" s="16">
        <v>1.07</v>
      </c>
      <c r="F175" s="16">
        <v>0.91</v>
      </c>
      <c r="G175" s="16">
        <v>0.8</v>
      </c>
      <c r="H175" s="16">
        <v>0.75</v>
      </c>
      <c r="I175" s="16">
        <v>0.8</v>
      </c>
      <c r="J175" s="16">
        <v>0.92</v>
      </c>
      <c r="K175" s="16">
        <v>1.1200000000000001</v>
      </c>
      <c r="L175" s="16">
        <v>1.34</v>
      </c>
      <c r="M175" s="16">
        <v>1.49</v>
      </c>
      <c r="N175" s="17">
        <v>1.48</v>
      </c>
    </row>
    <row r="176" spans="1:14" x14ac:dyDescent="0.25">
      <c r="A176" s="2"/>
      <c r="B176" s="30">
        <v>60</v>
      </c>
      <c r="C176" s="16">
        <v>1.35</v>
      </c>
      <c r="D176" s="16">
        <v>1.21</v>
      </c>
      <c r="E176" s="16">
        <v>1.04</v>
      </c>
      <c r="F176" s="16">
        <v>0.86</v>
      </c>
      <c r="G176" s="16">
        <v>0.74</v>
      </c>
      <c r="H176" s="16">
        <v>0.69</v>
      </c>
      <c r="I176" s="16">
        <v>0.74</v>
      </c>
      <c r="J176" s="16">
        <v>0.87</v>
      </c>
      <c r="K176" s="16">
        <v>1.08</v>
      </c>
      <c r="L176" s="16">
        <v>1.32</v>
      </c>
      <c r="M176" s="16">
        <v>1.48</v>
      </c>
      <c r="N176" s="17">
        <v>1.47</v>
      </c>
    </row>
    <row r="177" spans="1:14" x14ac:dyDescent="0.25">
      <c r="A177" s="2"/>
      <c r="B177" s="30">
        <v>65</v>
      </c>
      <c r="C177" s="16">
        <v>1.33</v>
      </c>
      <c r="D177" s="16">
        <v>1.18</v>
      </c>
      <c r="E177" s="16">
        <v>0.99</v>
      </c>
      <c r="F177" s="16">
        <v>0.81</v>
      </c>
      <c r="G177" s="16">
        <v>0.68</v>
      </c>
      <c r="H177" s="16">
        <v>0.63</v>
      </c>
      <c r="I177" s="16">
        <v>0.68</v>
      </c>
      <c r="J177" s="16">
        <v>0.82</v>
      </c>
      <c r="K177" s="16">
        <v>1.04</v>
      </c>
      <c r="L177" s="16">
        <v>1.29</v>
      </c>
      <c r="M177" s="16">
        <v>1.46</v>
      </c>
      <c r="N177" s="17">
        <v>1.45</v>
      </c>
    </row>
    <row r="178" spans="1:14" x14ac:dyDescent="0.25">
      <c r="A178" s="2"/>
      <c r="B178" s="30">
        <v>70</v>
      </c>
      <c r="C178" s="16">
        <v>1.29</v>
      </c>
      <c r="D178" s="16">
        <v>1.1399999999999999</v>
      </c>
      <c r="E178" s="16">
        <v>0.94</v>
      </c>
      <c r="F178" s="16">
        <v>0.75</v>
      </c>
      <c r="G178" s="16">
        <v>0.61</v>
      </c>
      <c r="H178" s="16">
        <v>0.56000000000000005</v>
      </c>
      <c r="I178" s="16">
        <v>0.61</v>
      </c>
      <c r="J178" s="16">
        <v>0.76</v>
      </c>
      <c r="K178" s="16">
        <v>0.98</v>
      </c>
      <c r="L178" s="16">
        <v>1.25</v>
      </c>
      <c r="M178" s="16">
        <v>1.43</v>
      </c>
      <c r="N178" s="17">
        <v>1.42</v>
      </c>
    </row>
    <row r="179" spans="1:14" x14ac:dyDescent="0.25">
      <c r="A179" s="2"/>
      <c r="B179" s="30">
        <v>75</v>
      </c>
      <c r="C179" s="16">
        <v>1.25</v>
      </c>
      <c r="D179" s="16">
        <v>1.0900000000000001</v>
      </c>
      <c r="E179" s="16">
        <v>0.89</v>
      </c>
      <c r="F179" s="16">
        <v>0.69</v>
      </c>
      <c r="G179" s="16">
        <v>0.54</v>
      </c>
      <c r="H179" s="16">
        <v>0.49</v>
      </c>
      <c r="I179" s="16">
        <v>0.54</v>
      </c>
      <c r="J179" s="16">
        <v>0.69</v>
      </c>
      <c r="K179" s="16">
        <v>0.93</v>
      </c>
      <c r="L179" s="16">
        <v>1.2</v>
      </c>
      <c r="M179" s="16">
        <v>1.39</v>
      </c>
      <c r="N179" s="17">
        <v>1.39</v>
      </c>
    </row>
    <row r="180" spans="1:14" x14ac:dyDescent="0.25">
      <c r="A180" s="2"/>
      <c r="B180" s="30">
        <v>80</v>
      </c>
      <c r="C180" s="16">
        <v>1.21</v>
      </c>
      <c r="D180" s="16">
        <v>1.04</v>
      </c>
      <c r="E180" s="16">
        <v>0.83</v>
      </c>
      <c r="F180" s="16">
        <v>0.62</v>
      </c>
      <c r="G180" s="16">
        <v>0.47</v>
      </c>
      <c r="H180" s="16">
        <v>0.42</v>
      </c>
      <c r="I180" s="16">
        <v>0.47</v>
      </c>
      <c r="J180" s="16">
        <v>0.62</v>
      </c>
      <c r="K180" s="16">
        <v>0.86</v>
      </c>
      <c r="L180" s="16">
        <v>1.1399999999999999</v>
      </c>
      <c r="M180" s="16">
        <v>1.34</v>
      </c>
      <c r="N180" s="17">
        <v>1.34</v>
      </c>
    </row>
    <row r="181" spans="1:14" x14ac:dyDescent="0.25">
      <c r="A181" s="2"/>
      <c r="B181" s="30">
        <v>85</v>
      </c>
      <c r="C181" s="16">
        <v>1.1499999999999999</v>
      </c>
      <c r="D181" s="16">
        <v>0.98</v>
      </c>
      <c r="E181" s="16">
        <v>0.76</v>
      </c>
      <c r="F181" s="16">
        <v>0.55000000000000004</v>
      </c>
      <c r="G181" s="16">
        <v>0.4</v>
      </c>
      <c r="H181" s="16">
        <v>0.34</v>
      </c>
      <c r="I181" s="16">
        <v>0.39</v>
      </c>
      <c r="J181" s="16">
        <v>0.55000000000000004</v>
      </c>
      <c r="K181" s="16">
        <v>0.79</v>
      </c>
      <c r="L181" s="16">
        <v>1.08</v>
      </c>
      <c r="M181" s="16">
        <v>1.29</v>
      </c>
      <c r="N181" s="17">
        <v>1.29</v>
      </c>
    </row>
    <row r="182" spans="1:14" ht="15.75" thickBot="1" x14ac:dyDescent="0.3">
      <c r="A182" s="2"/>
      <c r="B182" s="33">
        <v>90</v>
      </c>
      <c r="C182" s="34">
        <v>1.0900000000000001</v>
      </c>
      <c r="D182" s="34">
        <v>0.91</v>
      </c>
      <c r="E182" s="34">
        <v>0.69</v>
      </c>
      <c r="F182" s="34">
        <v>0.47</v>
      </c>
      <c r="G182" s="34">
        <v>0.32</v>
      </c>
      <c r="H182" s="34">
        <v>0.26</v>
      </c>
      <c r="I182" s="34">
        <v>0.31</v>
      </c>
      <c r="J182" s="34">
        <v>0.47</v>
      </c>
      <c r="K182" s="34">
        <v>0.72</v>
      </c>
      <c r="L182" s="34">
        <v>1.01</v>
      </c>
      <c r="M182" s="34">
        <v>1.34</v>
      </c>
      <c r="N182" s="35">
        <v>1.23</v>
      </c>
    </row>
    <row r="183" spans="1:14" ht="15.75" thickTop="1" x14ac:dyDescent="0.25">
      <c r="A183" s="2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4" ht="15.75" thickBot="1" x14ac:dyDescent="0.3">
      <c r="A184" s="2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1:14" ht="15.75" thickTop="1" x14ac:dyDescent="0.25">
      <c r="A185" s="2"/>
      <c r="B185" s="8" t="s">
        <v>216</v>
      </c>
      <c r="C185" s="9" t="s">
        <v>196</v>
      </c>
      <c r="D185" s="9" t="s">
        <v>197</v>
      </c>
      <c r="E185" s="9" t="s">
        <v>198</v>
      </c>
      <c r="F185" s="9" t="s">
        <v>199</v>
      </c>
      <c r="G185" s="9" t="s">
        <v>200</v>
      </c>
      <c r="H185" s="9" t="s">
        <v>201</v>
      </c>
      <c r="I185" s="9" t="s">
        <v>202</v>
      </c>
      <c r="J185" s="9" t="s">
        <v>203</v>
      </c>
      <c r="K185" s="9" t="s">
        <v>204</v>
      </c>
      <c r="L185" s="9" t="s">
        <v>205</v>
      </c>
      <c r="M185" s="9" t="s">
        <v>206</v>
      </c>
      <c r="N185" s="10" t="s">
        <v>207</v>
      </c>
    </row>
    <row r="186" spans="1:14" ht="15.75" thickBot="1" x14ac:dyDescent="0.3">
      <c r="A186" s="2"/>
      <c r="B186" s="11" t="s">
        <v>208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3"/>
    </row>
    <row r="187" spans="1:14" ht="15.75" thickTop="1" x14ac:dyDescent="0.25">
      <c r="A187" s="2"/>
      <c r="B187" s="30">
        <v>0</v>
      </c>
      <c r="C187" s="16">
        <v>1</v>
      </c>
      <c r="D187" s="16">
        <v>1</v>
      </c>
      <c r="E187" s="16">
        <v>1</v>
      </c>
      <c r="F187" s="16">
        <v>1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>
        <v>1</v>
      </c>
      <c r="M187" s="16">
        <v>1</v>
      </c>
      <c r="N187" s="17">
        <v>1</v>
      </c>
    </row>
    <row r="188" spans="1:14" x14ac:dyDescent="0.25">
      <c r="A188" s="2"/>
      <c r="B188" s="30">
        <v>5</v>
      </c>
      <c r="C188" s="16">
        <v>1.07</v>
      </c>
      <c r="D188" s="16">
        <v>1.06</v>
      </c>
      <c r="E188" s="16">
        <v>1.04</v>
      </c>
      <c r="F188" s="16">
        <v>1.03</v>
      </c>
      <c r="G188" s="16">
        <v>1.02</v>
      </c>
      <c r="H188" s="16">
        <v>1.01</v>
      </c>
      <c r="I188" s="16">
        <v>1.02</v>
      </c>
      <c r="J188" s="16">
        <v>1.03</v>
      </c>
      <c r="K188" s="16">
        <v>1.05</v>
      </c>
      <c r="L188" s="16">
        <v>1.07</v>
      </c>
      <c r="M188" s="16">
        <v>1.0900000000000001</v>
      </c>
      <c r="N188" s="17">
        <v>1.08</v>
      </c>
    </row>
    <row r="189" spans="1:14" x14ac:dyDescent="0.25">
      <c r="A189" s="2"/>
      <c r="B189" s="30">
        <v>10</v>
      </c>
      <c r="C189" s="16">
        <v>1.1399999999999999</v>
      </c>
      <c r="D189" s="16">
        <v>1.1100000000000001</v>
      </c>
      <c r="E189" s="16">
        <v>1.08</v>
      </c>
      <c r="F189" s="16">
        <v>1.05</v>
      </c>
      <c r="G189" s="16">
        <v>1.03</v>
      </c>
      <c r="H189" s="16">
        <v>1.02</v>
      </c>
      <c r="I189" s="16">
        <v>1.03</v>
      </c>
      <c r="J189" s="16">
        <v>1.06</v>
      </c>
      <c r="K189" s="16">
        <v>1.1000000000000001</v>
      </c>
      <c r="L189" s="16">
        <v>1.1399999999999999</v>
      </c>
      <c r="M189" s="16">
        <v>1.17</v>
      </c>
      <c r="N189" s="17">
        <v>1.1599999999999999</v>
      </c>
    </row>
    <row r="190" spans="1:14" x14ac:dyDescent="0.25">
      <c r="A190" s="2"/>
      <c r="B190" s="30">
        <v>15</v>
      </c>
      <c r="C190" s="16">
        <v>1.19</v>
      </c>
      <c r="D190" s="16">
        <v>1.1599999999999999</v>
      </c>
      <c r="E190" s="16">
        <v>1.1100000000000001</v>
      </c>
      <c r="F190" s="16">
        <v>1.07</v>
      </c>
      <c r="G190" s="16">
        <v>1.03</v>
      </c>
      <c r="H190" s="16">
        <v>1.02</v>
      </c>
      <c r="I190" s="16">
        <v>1.03</v>
      </c>
      <c r="J190" s="16">
        <v>1.07</v>
      </c>
      <c r="K190" s="16">
        <v>1.1299999999999999</v>
      </c>
      <c r="L190" s="16">
        <v>1.2</v>
      </c>
      <c r="M190" s="16">
        <v>1.24</v>
      </c>
      <c r="N190" s="17">
        <v>1.23</v>
      </c>
    </row>
    <row r="191" spans="1:14" x14ac:dyDescent="0.25">
      <c r="A191" s="2"/>
      <c r="B191" s="30">
        <v>20</v>
      </c>
      <c r="C191" s="16">
        <v>1.25</v>
      </c>
      <c r="D191" s="16">
        <v>1.2</v>
      </c>
      <c r="E191" s="16">
        <v>1.1399999999999999</v>
      </c>
      <c r="F191" s="16">
        <v>1.07</v>
      </c>
      <c r="G191" s="16">
        <v>1.03</v>
      </c>
      <c r="H191" s="16">
        <v>1.01</v>
      </c>
      <c r="I191" s="16">
        <v>1.03</v>
      </c>
      <c r="J191" s="16">
        <v>1.08</v>
      </c>
      <c r="K191" s="16">
        <v>1.1599999999999999</v>
      </c>
      <c r="L191" s="16">
        <v>1.25</v>
      </c>
      <c r="M191" s="16">
        <v>1.31</v>
      </c>
      <c r="N191" s="17">
        <v>1.29</v>
      </c>
    </row>
    <row r="192" spans="1:14" x14ac:dyDescent="0.25">
      <c r="A192" s="2"/>
      <c r="B192" s="30">
        <v>25</v>
      </c>
      <c r="C192" s="16">
        <v>1.29</v>
      </c>
      <c r="D192" s="16">
        <v>1.23</v>
      </c>
      <c r="E192" s="16">
        <v>1.1499999999999999</v>
      </c>
      <c r="F192" s="16">
        <v>1.07</v>
      </c>
      <c r="G192" s="16">
        <v>1.02</v>
      </c>
      <c r="H192" s="16">
        <v>1</v>
      </c>
      <c r="I192" s="16">
        <v>1.02</v>
      </c>
      <c r="J192" s="16">
        <v>1.08</v>
      </c>
      <c r="K192" s="16">
        <v>1.18</v>
      </c>
      <c r="L192" s="16">
        <v>1.29</v>
      </c>
      <c r="M192" s="16">
        <v>1.36</v>
      </c>
      <c r="N192" s="17">
        <v>1.35</v>
      </c>
    </row>
    <row r="193" spans="1:14" x14ac:dyDescent="0.25">
      <c r="A193" s="2"/>
      <c r="B193" s="30">
        <v>30</v>
      </c>
      <c r="C193" s="16">
        <v>1.33</v>
      </c>
      <c r="D193" s="16">
        <v>1.25</v>
      </c>
      <c r="E193" s="16">
        <v>1.1599999999999999</v>
      </c>
      <c r="F193" s="16">
        <v>1.07</v>
      </c>
      <c r="G193" s="16">
        <v>1</v>
      </c>
      <c r="H193" s="16">
        <v>0.97</v>
      </c>
      <c r="I193" s="16">
        <v>1</v>
      </c>
      <c r="J193" s="16">
        <v>1.08</v>
      </c>
      <c r="K193" s="16">
        <v>1.19</v>
      </c>
      <c r="L193" s="16">
        <v>1.33</v>
      </c>
      <c r="M193" s="16">
        <v>1.41</v>
      </c>
      <c r="N193" s="17">
        <v>1.4</v>
      </c>
    </row>
    <row r="194" spans="1:14" x14ac:dyDescent="0.25">
      <c r="A194" s="2"/>
      <c r="B194" s="30">
        <v>35</v>
      </c>
      <c r="C194" s="16">
        <v>1.35</v>
      </c>
      <c r="D194" s="16">
        <v>1.27</v>
      </c>
      <c r="E194" s="16">
        <v>1.1599999999999999</v>
      </c>
      <c r="F194" s="16">
        <v>1.05</v>
      </c>
      <c r="G194" s="16">
        <v>0.97</v>
      </c>
      <c r="H194" s="16">
        <v>0.94</v>
      </c>
      <c r="I194" s="16">
        <v>0.98</v>
      </c>
      <c r="J194" s="16">
        <v>1.06</v>
      </c>
      <c r="K194" s="16">
        <v>1.2</v>
      </c>
      <c r="L194" s="16">
        <v>1.35</v>
      </c>
      <c r="M194" s="16">
        <v>1.45</v>
      </c>
      <c r="N194" s="17">
        <v>1.43</v>
      </c>
    </row>
    <row r="195" spans="1:14" x14ac:dyDescent="0.25">
      <c r="A195" s="2"/>
      <c r="B195" s="30">
        <v>40</v>
      </c>
      <c r="C195" s="16">
        <v>1.37</v>
      </c>
      <c r="D195" s="16">
        <v>1.27</v>
      </c>
      <c r="E195" s="16">
        <v>1.1499999999999999</v>
      </c>
      <c r="F195" s="16">
        <v>1.03</v>
      </c>
      <c r="G195" s="16">
        <v>0.94</v>
      </c>
      <c r="H195" s="16">
        <v>0.91</v>
      </c>
      <c r="I195" s="16">
        <v>0.94</v>
      </c>
      <c r="J195" s="16">
        <v>1.04</v>
      </c>
      <c r="K195" s="16">
        <v>1.19</v>
      </c>
      <c r="L195" s="16">
        <v>1.37</v>
      </c>
      <c r="M195" s="16">
        <v>1.48</v>
      </c>
      <c r="N195" s="17">
        <v>1.46</v>
      </c>
    </row>
    <row r="196" spans="1:14" x14ac:dyDescent="0.25">
      <c r="A196" s="2"/>
      <c r="B196" s="30">
        <v>45</v>
      </c>
      <c r="C196" s="16">
        <v>1.38</v>
      </c>
      <c r="D196" s="16">
        <v>1.27</v>
      </c>
      <c r="E196" s="16">
        <v>1.1399999999999999</v>
      </c>
      <c r="F196" s="16">
        <v>1</v>
      </c>
      <c r="G196" s="16">
        <v>0.9</v>
      </c>
      <c r="H196" s="16">
        <v>0.87</v>
      </c>
      <c r="I196" s="16">
        <v>0.9</v>
      </c>
      <c r="J196" s="16">
        <v>1.01</v>
      </c>
      <c r="K196" s="16">
        <v>1.18</v>
      </c>
      <c r="L196" s="16">
        <v>1.37</v>
      </c>
      <c r="M196" s="16">
        <v>1.5</v>
      </c>
      <c r="N196" s="17">
        <v>1.48</v>
      </c>
    </row>
    <row r="197" spans="1:14" x14ac:dyDescent="0.25">
      <c r="A197" s="2"/>
      <c r="B197" s="30">
        <v>50</v>
      </c>
      <c r="C197" s="16">
        <v>1.39</v>
      </c>
      <c r="D197" s="16">
        <v>1.26</v>
      </c>
      <c r="E197" s="16">
        <v>1.1200000000000001</v>
      </c>
      <c r="F197" s="16">
        <v>0.97</v>
      </c>
      <c r="G197" s="16">
        <v>0.86</v>
      </c>
      <c r="H197" s="16">
        <v>0.82</v>
      </c>
      <c r="I197" s="16">
        <v>0.86</v>
      </c>
      <c r="J197" s="16">
        <v>0.98</v>
      </c>
      <c r="K197" s="16">
        <v>1.18</v>
      </c>
      <c r="L197" s="16">
        <v>1.37</v>
      </c>
      <c r="M197" s="16">
        <v>1.51</v>
      </c>
      <c r="N197" s="17">
        <v>1.5</v>
      </c>
    </row>
    <row r="198" spans="1:14" x14ac:dyDescent="0.25">
      <c r="A198" s="2"/>
      <c r="B198" s="30">
        <v>55</v>
      </c>
      <c r="C198" s="16">
        <v>1.38</v>
      </c>
      <c r="D198" s="16">
        <v>1.25</v>
      </c>
      <c r="E198" s="16">
        <v>1.0900000000000001</v>
      </c>
      <c r="F198" s="16">
        <v>0.93</v>
      </c>
      <c r="G198" s="16">
        <v>0.71</v>
      </c>
      <c r="H198" s="16">
        <v>0.77</v>
      </c>
      <c r="I198" s="16">
        <v>0.81</v>
      </c>
      <c r="J198" s="16">
        <v>0.94</v>
      </c>
      <c r="K198" s="16">
        <v>1.1299999999999999</v>
      </c>
      <c r="L198" s="16">
        <v>1.36</v>
      </c>
      <c r="M198" s="16">
        <v>1.51</v>
      </c>
      <c r="N198" s="17">
        <v>1.5</v>
      </c>
    </row>
    <row r="199" spans="1:14" x14ac:dyDescent="0.25">
      <c r="A199" s="2"/>
      <c r="B199" s="30">
        <v>60</v>
      </c>
      <c r="C199" s="16">
        <v>1.37</v>
      </c>
      <c r="D199" s="16">
        <v>1.22</v>
      </c>
      <c r="E199" s="16">
        <v>1.05</v>
      </c>
      <c r="F199" s="16">
        <v>0.88</v>
      </c>
      <c r="G199" s="16">
        <v>0.75</v>
      </c>
      <c r="H199" s="16">
        <v>0.71</v>
      </c>
      <c r="I199" s="16">
        <v>0.75</v>
      </c>
      <c r="J199" s="16">
        <v>0.89</v>
      </c>
      <c r="K199" s="16">
        <v>1.1000000000000001</v>
      </c>
      <c r="L199" s="16">
        <v>1.34</v>
      </c>
      <c r="M199" s="16">
        <v>1.51</v>
      </c>
      <c r="N199" s="17">
        <v>1.49</v>
      </c>
    </row>
    <row r="200" spans="1:14" x14ac:dyDescent="0.25">
      <c r="A200" s="2"/>
      <c r="B200" s="30">
        <v>65</v>
      </c>
      <c r="C200" s="16">
        <v>1.35</v>
      </c>
      <c r="D200" s="16">
        <v>1.19</v>
      </c>
      <c r="E200" s="16">
        <v>1.01</v>
      </c>
      <c r="F200" s="16">
        <v>0.83</v>
      </c>
      <c r="G200" s="16">
        <v>0.69</v>
      </c>
      <c r="H200" s="16">
        <v>0.65</v>
      </c>
      <c r="I200" s="16">
        <v>0.69</v>
      </c>
      <c r="J200" s="16">
        <v>0.83</v>
      </c>
      <c r="K200" s="16">
        <v>1.05</v>
      </c>
      <c r="L200" s="16">
        <v>1.31</v>
      </c>
      <c r="M200" s="16">
        <v>1.49</v>
      </c>
      <c r="N200" s="17">
        <v>1.47</v>
      </c>
    </row>
    <row r="201" spans="1:14" x14ac:dyDescent="0.25">
      <c r="A201" s="2"/>
      <c r="B201" s="30">
        <v>70</v>
      </c>
      <c r="C201" s="16">
        <v>1.32</v>
      </c>
      <c r="D201" s="16">
        <v>1.1499999999999999</v>
      </c>
      <c r="E201" s="16">
        <v>0.96</v>
      </c>
      <c r="F201" s="16">
        <v>0.77</v>
      </c>
      <c r="G201" s="16">
        <v>0.63</v>
      </c>
      <c r="H201" s="16">
        <v>0.57999999999999996</v>
      </c>
      <c r="I201" s="16">
        <v>0.63</v>
      </c>
      <c r="J201" s="16">
        <v>0.77</v>
      </c>
      <c r="K201" s="16">
        <v>1</v>
      </c>
      <c r="L201" s="16">
        <v>1.27</v>
      </c>
      <c r="M201" s="16">
        <v>1.46</v>
      </c>
      <c r="N201" s="17">
        <v>1.45</v>
      </c>
    </row>
    <row r="202" spans="1:14" x14ac:dyDescent="0.25">
      <c r="A202" s="2"/>
      <c r="B202" s="30">
        <v>75</v>
      </c>
      <c r="C202" s="16">
        <v>1.28</v>
      </c>
      <c r="D202" s="16">
        <v>1.1100000000000001</v>
      </c>
      <c r="E202" s="16">
        <v>0.91</v>
      </c>
      <c r="F202" s="16">
        <v>0.7</v>
      </c>
      <c r="G202" s="16">
        <v>0.56000000000000005</v>
      </c>
      <c r="H202" s="16">
        <v>0.51</v>
      </c>
      <c r="I202" s="16">
        <v>0.56000000000000005</v>
      </c>
      <c r="J202" s="16">
        <v>0.71</v>
      </c>
      <c r="K202" s="16">
        <v>0.95</v>
      </c>
      <c r="L202" s="16">
        <v>1.27</v>
      </c>
      <c r="M202" s="16">
        <v>1.42</v>
      </c>
      <c r="N202" s="17">
        <v>1.41</v>
      </c>
    </row>
    <row r="203" spans="1:14" x14ac:dyDescent="0.25">
      <c r="A203" s="2"/>
      <c r="B203" s="30">
        <v>80</v>
      </c>
      <c r="C203" s="16">
        <v>1.23</v>
      </c>
      <c r="D203" s="16">
        <v>1.06</v>
      </c>
      <c r="E203" s="16">
        <v>0.84</v>
      </c>
      <c r="F203" s="16">
        <v>0.64</v>
      </c>
      <c r="G203" s="16">
        <v>0.49</v>
      </c>
      <c r="H203" s="16">
        <v>0.43</v>
      </c>
      <c r="I203" s="16">
        <v>0.48</v>
      </c>
      <c r="J203" s="16">
        <v>0.64</v>
      </c>
      <c r="K203" s="16">
        <v>0.88</v>
      </c>
      <c r="L203" s="16">
        <v>1.17</v>
      </c>
      <c r="M203" s="16">
        <v>1.37</v>
      </c>
      <c r="N203" s="17">
        <v>1.37</v>
      </c>
    </row>
    <row r="204" spans="1:14" x14ac:dyDescent="0.25">
      <c r="A204" s="2"/>
      <c r="B204" s="30">
        <v>85</v>
      </c>
      <c r="C204" s="16">
        <v>1.18</v>
      </c>
      <c r="D204" s="16">
        <v>1</v>
      </c>
      <c r="E204" s="16">
        <v>0.78</v>
      </c>
      <c r="F204" s="16">
        <v>0.56000000000000005</v>
      </c>
      <c r="G204" s="16">
        <v>0.41</v>
      </c>
      <c r="H204" s="16">
        <v>0.35</v>
      </c>
      <c r="I204" s="16">
        <v>0.41</v>
      </c>
      <c r="J204" s="16">
        <v>0.56000000000000005</v>
      </c>
      <c r="K204" s="16">
        <v>0.81</v>
      </c>
      <c r="L204" s="16">
        <v>1.1100000000000001</v>
      </c>
      <c r="M204" s="16">
        <v>1.32</v>
      </c>
      <c r="N204" s="17">
        <v>1.32</v>
      </c>
    </row>
    <row r="205" spans="1:14" ht="15.75" thickBot="1" x14ac:dyDescent="0.3">
      <c r="A205" s="2"/>
      <c r="B205" s="31">
        <v>90</v>
      </c>
      <c r="C205" s="18">
        <v>1.1200000000000001</v>
      </c>
      <c r="D205" s="18">
        <v>0.93</v>
      </c>
      <c r="E205" s="18">
        <v>0.71</v>
      </c>
      <c r="F205" s="18">
        <v>0.49</v>
      </c>
      <c r="G205" s="18">
        <v>0.33</v>
      </c>
      <c r="H205" s="18">
        <v>0.28000000000000003</v>
      </c>
      <c r="I205" s="18">
        <v>0.33</v>
      </c>
      <c r="J205" s="18">
        <v>0.49</v>
      </c>
      <c r="K205" s="18">
        <v>0.74</v>
      </c>
      <c r="L205" s="18">
        <v>1.04</v>
      </c>
      <c r="M205" s="18">
        <v>1.25</v>
      </c>
      <c r="N205" s="19">
        <v>1.26</v>
      </c>
    </row>
    <row r="206" spans="1:14" ht="15.75" thickTop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 thickBo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 thickTop="1" x14ac:dyDescent="0.25">
      <c r="A208" s="2"/>
      <c r="B208" s="8" t="s">
        <v>217</v>
      </c>
      <c r="C208" s="9" t="s">
        <v>196</v>
      </c>
      <c r="D208" s="9" t="s">
        <v>197</v>
      </c>
      <c r="E208" s="9" t="s">
        <v>198</v>
      </c>
      <c r="F208" s="9" t="s">
        <v>199</v>
      </c>
      <c r="G208" s="9" t="s">
        <v>200</v>
      </c>
      <c r="H208" s="9" t="s">
        <v>201</v>
      </c>
      <c r="I208" s="9" t="s">
        <v>202</v>
      </c>
      <c r="J208" s="9" t="s">
        <v>203</v>
      </c>
      <c r="K208" s="9" t="s">
        <v>204</v>
      </c>
      <c r="L208" s="9" t="s">
        <v>205</v>
      </c>
      <c r="M208" s="9" t="s">
        <v>206</v>
      </c>
      <c r="N208" s="10" t="s">
        <v>207</v>
      </c>
    </row>
    <row r="209" spans="1:14" x14ac:dyDescent="0.25">
      <c r="A209" s="2"/>
      <c r="B209" s="27" t="s">
        <v>208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9"/>
    </row>
    <row r="210" spans="1:14" x14ac:dyDescent="0.25">
      <c r="A210" s="2"/>
      <c r="B210" s="20">
        <v>0</v>
      </c>
      <c r="C210" s="14">
        <v>1</v>
      </c>
      <c r="D210" s="14">
        <v>1</v>
      </c>
      <c r="E210" s="14">
        <v>1</v>
      </c>
      <c r="F210" s="14">
        <v>1</v>
      </c>
      <c r="G210" s="14">
        <v>1</v>
      </c>
      <c r="H210" s="14">
        <v>1</v>
      </c>
      <c r="I210" s="14">
        <v>1</v>
      </c>
      <c r="J210" s="14">
        <v>1</v>
      </c>
      <c r="K210" s="14">
        <v>1</v>
      </c>
      <c r="L210" s="14">
        <v>1</v>
      </c>
      <c r="M210" s="14">
        <v>1</v>
      </c>
      <c r="N210" s="15">
        <v>1</v>
      </c>
    </row>
    <row r="211" spans="1:14" x14ac:dyDescent="0.25">
      <c r="A211" s="2"/>
      <c r="B211" s="21">
        <v>5</v>
      </c>
      <c r="C211" s="16">
        <v>1.07</v>
      </c>
      <c r="D211" s="16">
        <v>1.06</v>
      </c>
      <c r="E211" s="16">
        <v>1.05</v>
      </c>
      <c r="F211" s="16">
        <v>1.03</v>
      </c>
      <c r="G211" s="16">
        <v>1.02</v>
      </c>
      <c r="H211" s="16">
        <v>1.01</v>
      </c>
      <c r="I211" s="16">
        <v>1.02</v>
      </c>
      <c r="J211" s="16">
        <v>1.03</v>
      </c>
      <c r="K211" s="16">
        <v>1.05</v>
      </c>
      <c r="L211" s="16">
        <v>1.08</v>
      </c>
      <c r="M211" s="16">
        <v>1.0900000000000001</v>
      </c>
      <c r="N211" s="17">
        <v>1.0900000000000001</v>
      </c>
    </row>
    <row r="212" spans="1:14" x14ac:dyDescent="0.25">
      <c r="A212" s="2"/>
      <c r="B212" s="21">
        <v>10</v>
      </c>
      <c r="C212" s="16">
        <v>1.1399999999999999</v>
      </c>
      <c r="D212" s="16">
        <v>1.1100000000000001</v>
      </c>
      <c r="E212" s="16">
        <v>1.08</v>
      </c>
      <c r="F212" s="16">
        <v>1.05</v>
      </c>
      <c r="G212" s="16">
        <v>1.03</v>
      </c>
      <c r="H212" s="16">
        <v>1.02</v>
      </c>
      <c r="I212" s="16">
        <v>1.03</v>
      </c>
      <c r="J212" s="16">
        <v>1.06</v>
      </c>
      <c r="K212" s="16">
        <v>1.1000000000000001</v>
      </c>
      <c r="L212" s="16">
        <v>1.1399999999999999</v>
      </c>
      <c r="M212" s="16">
        <v>1.17</v>
      </c>
      <c r="N212" s="17">
        <v>1.1599999999999999</v>
      </c>
    </row>
    <row r="213" spans="1:14" x14ac:dyDescent="0.25">
      <c r="A213" s="2"/>
      <c r="B213" s="21">
        <v>15</v>
      </c>
      <c r="C213" s="16">
        <v>1.2</v>
      </c>
      <c r="D213" s="16">
        <v>1.1599999999999999</v>
      </c>
      <c r="E213" s="16">
        <v>1.1200000000000001</v>
      </c>
      <c r="F213" s="16">
        <v>1.07</v>
      </c>
      <c r="G213" s="16">
        <v>1.03</v>
      </c>
      <c r="H213" s="16">
        <v>1.02</v>
      </c>
      <c r="I213" s="16">
        <v>1.04</v>
      </c>
      <c r="J213" s="16">
        <v>1.08</v>
      </c>
      <c r="K213" s="16">
        <v>1.1399999999999999</v>
      </c>
      <c r="L213" s="16">
        <v>1.21</v>
      </c>
      <c r="M213" s="16">
        <v>1.25</v>
      </c>
      <c r="N213" s="17">
        <v>1.24</v>
      </c>
    </row>
    <row r="214" spans="1:14" x14ac:dyDescent="0.25">
      <c r="A214" s="2"/>
      <c r="B214" s="21">
        <v>20</v>
      </c>
      <c r="C214" s="16">
        <v>1.25</v>
      </c>
      <c r="D214" s="16">
        <v>1.2</v>
      </c>
      <c r="E214" s="16">
        <v>1.1399999999999999</v>
      </c>
      <c r="F214" s="16">
        <v>1.08</v>
      </c>
      <c r="G214" s="16">
        <v>1.03</v>
      </c>
      <c r="H214" s="16">
        <v>1.02</v>
      </c>
      <c r="I214" s="16">
        <v>1.03</v>
      </c>
      <c r="J214" s="16">
        <v>1.0900000000000001</v>
      </c>
      <c r="K214" s="16">
        <v>1.17</v>
      </c>
      <c r="L214" s="16">
        <v>1.26</v>
      </c>
      <c r="M214" s="16">
        <v>1.32</v>
      </c>
      <c r="N214" s="17">
        <v>1.3</v>
      </c>
    </row>
    <row r="215" spans="1:14" x14ac:dyDescent="0.25">
      <c r="A215" s="2"/>
      <c r="B215" s="21">
        <v>25</v>
      </c>
      <c r="C215" s="16">
        <v>1.3</v>
      </c>
      <c r="D215" s="16">
        <v>1.23</v>
      </c>
      <c r="E215" s="16">
        <v>1.1599999999999999</v>
      </c>
      <c r="F215" s="16">
        <v>1.08</v>
      </c>
      <c r="G215" s="16">
        <v>1.02</v>
      </c>
      <c r="H215" s="16">
        <v>1</v>
      </c>
      <c r="I215" s="16">
        <v>1.02</v>
      </c>
      <c r="J215" s="16">
        <v>1.0900000000000001</v>
      </c>
      <c r="K215" s="16">
        <v>1.19</v>
      </c>
      <c r="L215" s="16">
        <v>1.3</v>
      </c>
      <c r="M215" s="16">
        <v>1.38</v>
      </c>
      <c r="N215" s="17">
        <v>1.36</v>
      </c>
    </row>
    <row r="216" spans="1:14" x14ac:dyDescent="0.25">
      <c r="A216" s="2"/>
      <c r="B216" s="21">
        <v>30</v>
      </c>
      <c r="C216" s="16">
        <v>1.34</v>
      </c>
      <c r="D216" s="16">
        <v>1.26</v>
      </c>
      <c r="E216" s="16">
        <v>1.17</v>
      </c>
      <c r="F216" s="16">
        <v>1.07</v>
      </c>
      <c r="G216" s="16">
        <v>1.01</v>
      </c>
      <c r="H216" s="16">
        <v>0.98</v>
      </c>
      <c r="I216" s="16">
        <v>1.01</v>
      </c>
      <c r="J216" s="16">
        <v>1.0900000000000001</v>
      </c>
      <c r="K216" s="16">
        <v>1.2</v>
      </c>
      <c r="L216" s="16">
        <v>1.34</v>
      </c>
      <c r="M216" s="16">
        <v>1.43</v>
      </c>
      <c r="N216" s="17">
        <v>1.41</v>
      </c>
    </row>
    <row r="217" spans="1:14" x14ac:dyDescent="0.25">
      <c r="A217" s="2"/>
      <c r="B217" s="21">
        <v>35</v>
      </c>
      <c r="C217" s="16">
        <v>1.37</v>
      </c>
      <c r="D217" s="16">
        <v>1.28</v>
      </c>
      <c r="E217" s="16">
        <v>1.17</v>
      </c>
      <c r="F217" s="16">
        <v>1.06</v>
      </c>
      <c r="G217" s="16">
        <v>0.98</v>
      </c>
      <c r="H217" s="16">
        <v>0.95</v>
      </c>
      <c r="I217" s="16">
        <v>0.98</v>
      </c>
      <c r="J217" s="16">
        <v>1.07</v>
      </c>
      <c r="K217" s="16">
        <v>1.21</v>
      </c>
      <c r="L217" s="16">
        <v>1.37</v>
      </c>
      <c r="M217" s="16">
        <v>1.47</v>
      </c>
      <c r="N217" s="17">
        <v>1.45</v>
      </c>
    </row>
    <row r="218" spans="1:14" x14ac:dyDescent="0.25">
      <c r="A218" s="2"/>
      <c r="B218" s="21">
        <v>40</v>
      </c>
      <c r="C218" s="16">
        <v>1.39</v>
      </c>
      <c r="D218" s="16">
        <v>1.29</v>
      </c>
      <c r="E218" s="16">
        <v>1.1599999999999999</v>
      </c>
      <c r="F218" s="16">
        <v>1.04</v>
      </c>
      <c r="G218" s="16">
        <v>0.95</v>
      </c>
      <c r="H218" s="16">
        <v>0.92</v>
      </c>
      <c r="I218" s="16">
        <v>0.95</v>
      </c>
      <c r="J218" s="16">
        <v>1.05</v>
      </c>
      <c r="K218" s="16">
        <v>1.21</v>
      </c>
      <c r="L218" s="16">
        <v>1.39</v>
      </c>
      <c r="M218" s="16">
        <v>1.5</v>
      </c>
      <c r="N218" s="17">
        <v>1.48</v>
      </c>
    </row>
    <row r="219" spans="1:14" x14ac:dyDescent="0.25">
      <c r="A219" s="2"/>
      <c r="B219" s="21">
        <v>45</v>
      </c>
      <c r="C219" s="16">
        <v>1.4</v>
      </c>
      <c r="D219" s="16">
        <v>1.29</v>
      </c>
      <c r="E219" s="16">
        <v>1.1499999999999999</v>
      </c>
      <c r="F219" s="16">
        <v>1.01</v>
      </c>
      <c r="G219" s="16">
        <v>0.91</v>
      </c>
      <c r="H219" s="16">
        <v>0.88</v>
      </c>
      <c r="I219" s="16">
        <v>0.92</v>
      </c>
      <c r="J219" s="16">
        <v>1.03</v>
      </c>
      <c r="K219" s="16">
        <v>1.2</v>
      </c>
      <c r="L219" s="16">
        <v>1.39</v>
      </c>
      <c r="M219" s="16">
        <v>1.52</v>
      </c>
      <c r="N219" s="17">
        <v>1.5</v>
      </c>
    </row>
    <row r="220" spans="1:14" x14ac:dyDescent="0.25">
      <c r="A220" s="2"/>
      <c r="B220" s="21">
        <v>50</v>
      </c>
      <c r="C220" s="16">
        <v>1.41</v>
      </c>
      <c r="D220" s="16">
        <v>1.28</v>
      </c>
      <c r="E220" s="16">
        <v>1.1299999999999999</v>
      </c>
      <c r="F220" s="16">
        <v>0.98</v>
      </c>
      <c r="G220" s="16">
        <v>0.87</v>
      </c>
      <c r="H220" s="16">
        <v>0.83</v>
      </c>
      <c r="I220" s="16">
        <v>0.87</v>
      </c>
      <c r="J220" s="16">
        <v>0.99</v>
      </c>
      <c r="K220" s="16">
        <v>1.18</v>
      </c>
      <c r="L220" s="17">
        <v>1.39</v>
      </c>
      <c r="M220" s="16">
        <v>1.54</v>
      </c>
      <c r="N220" s="17">
        <v>1.52</v>
      </c>
    </row>
    <row r="221" spans="1:14" x14ac:dyDescent="0.25">
      <c r="A221" s="2"/>
      <c r="B221" s="21">
        <v>55</v>
      </c>
      <c r="C221" s="16">
        <v>1.4</v>
      </c>
      <c r="D221" s="16">
        <v>1.27</v>
      </c>
      <c r="E221" s="16">
        <v>1.1000000000000001</v>
      </c>
      <c r="F221" s="16">
        <v>0.94</v>
      </c>
      <c r="G221" s="16">
        <v>0.82</v>
      </c>
      <c r="H221" s="16">
        <v>0.78</v>
      </c>
      <c r="I221" s="16">
        <v>0.82</v>
      </c>
      <c r="J221" s="16">
        <v>0.95</v>
      </c>
      <c r="K221" s="16">
        <v>1.1499999999999999</v>
      </c>
      <c r="L221" s="17">
        <v>1.38</v>
      </c>
      <c r="M221" s="16">
        <v>1.54</v>
      </c>
      <c r="N221" s="17">
        <v>1.52</v>
      </c>
    </row>
    <row r="222" spans="1:14" x14ac:dyDescent="0.25">
      <c r="A222" s="2"/>
      <c r="B222" s="21">
        <v>60</v>
      </c>
      <c r="C222" s="16">
        <v>1.39</v>
      </c>
      <c r="D222" s="16">
        <v>1.24</v>
      </c>
      <c r="E222" s="16">
        <v>1.07</v>
      </c>
      <c r="F222" s="16">
        <v>0.89</v>
      </c>
      <c r="G222" s="16">
        <v>0.77</v>
      </c>
      <c r="H222" s="16">
        <v>0.72</v>
      </c>
      <c r="I222" s="16">
        <v>0.77</v>
      </c>
      <c r="J222" s="16">
        <v>0.9</v>
      </c>
      <c r="K222" s="16">
        <v>1.1200000000000001</v>
      </c>
      <c r="L222" s="16">
        <v>1.36</v>
      </c>
      <c r="M222" s="16">
        <v>1.53</v>
      </c>
      <c r="N222" s="17">
        <v>1.51</v>
      </c>
    </row>
    <row r="223" spans="1:14" x14ac:dyDescent="0.25">
      <c r="A223" s="2"/>
      <c r="B223" s="21">
        <v>65</v>
      </c>
      <c r="C223" s="16">
        <v>1.37</v>
      </c>
      <c r="D223" s="16">
        <v>1.21</v>
      </c>
      <c r="E223" s="16">
        <v>1.03</v>
      </c>
      <c r="F223" s="16">
        <v>0.84</v>
      </c>
      <c r="G223" s="16">
        <v>0.71</v>
      </c>
      <c r="H223" s="16">
        <v>0.66</v>
      </c>
      <c r="I223" s="16">
        <v>0.71</v>
      </c>
      <c r="J223" s="16">
        <v>0.85</v>
      </c>
      <c r="K223" s="16">
        <v>1.07</v>
      </c>
      <c r="L223" s="16">
        <v>1.34</v>
      </c>
      <c r="M223" s="16">
        <v>1.51</v>
      </c>
      <c r="N223" s="17">
        <v>1.5</v>
      </c>
    </row>
    <row r="224" spans="1:14" x14ac:dyDescent="0.25">
      <c r="A224" s="2"/>
      <c r="B224" s="21">
        <v>70</v>
      </c>
      <c r="C224" s="16">
        <v>1.34</v>
      </c>
      <c r="D224" s="16">
        <v>1.17</v>
      </c>
      <c r="E224" s="16">
        <v>0.98</v>
      </c>
      <c r="F224" s="16">
        <v>0.78</v>
      </c>
      <c r="G224" s="16">
        <v>0.64</v>
      </c>
      <c r="H224" s="16">
        <v>0.59</v>
      </c>
      <c r="I224" s="16">
        <v>0.64</v>
      </c>
      <c r="J224" s="16">
        <v>0.79</v>
      </c>
      <c r="K224" s="16">
        <v>1.02</v>
      </c>
      <c r="L224" s="16">
        <v>1.3</v>
      </c>
      <c r="M224" s="16">
        <v>1.49</v>
      </c>
      <c r="N224" s="17">
        <v>1.47</v>
      </c>
    </row>
    <row r="225" spans="1:14" x14ac:dyDescent="0.25">
      <c r="A225" s="2"/>
      <c r="B225" s="21">
        <v>75</v>
      </c>
      <c r="C225" s="16">
        <v>1.3</v>
      </c>
      <c r="D225" s="16">
        <v>1.1299999999999999</v>
      </c>
      <c r="E225" s="16">
        <v>0.92</v>
      </c>
      <c r="F225" s="16">
        <v>0.72</v>
      </c>
      <c r="G225" s="16">
        <v>0.56999999999999995</v>
      </c>
      <c r="H225" s="16">
        <v>0.52</v>
      </c>
      <c r="I225" s="16">
        <v>0.56999999999999995</v>
      </c>
      <c r="J225" s="16">
        <v>0.73</v>
      </c>
      <c r="K225" s="16">
        <v>0.97</v>
      </c>
      <c r="L225" s="16">
        <v>1.25</v>
      </c>
      <c r="M225" s="16">
        <v>1.45</v>
      </c>
      <c r="N225" s="17">
        <v>1.44</v>
      </c>
    </row>
    <row r="226" spans="1:14" x14ac:dyDescent="0.25">
      <c r="A226" s="2"/>
      <c r="B226" s="21">
        <v>80</v>
      </c>
      <c r="C226" s="16">
        <v>1.25</v>
      </c>
      <c r="D226" s="16">
        <v>1.08</v>
      </c>
      <c r="E226" s="16">
        <v>0.86</v>
      </c>
      <c r="F226" s="16">
        <v>0.65</v>
      </c>
      <c r="G226" s="16">
        <v>0.5</v>
      </c>
      <c r="H226" s="16">
        <v>0.45</v>
      </c>
      <c r="I226" s="16">
        <v>0.5</v>
      </c>
      <c r="J226" s="16">
        <v>0.66</v>
      </c>
      <c r="K226" s="16">
        <v>0.9</v>
      </c>
      <c r="L226" s="16">
        <v>1.2</v>
      </c>
      <c r="M226" s="16">
        <v>1.41</v>
      </c>
      <c r="N226" s="17">
        <v>1.4</v>
      </c>
    </row>
    <row r="227" spans="1:14" x14ac:dyDescent="0.25">
      <c r="A227" s="2"/>
      <c r="B227" s="21">
        <v>85</v>
      </c>
      <c r="C227" s="16">
        <v>1.2</v>
      </c>
      <c r="D227" s="16">
        <v>1.02</v>
      </c>
      <c r="E227" s="16">
        <v>0.8</v>
      </c>
      <c r="F227" s="16">
        <v>0.57999999999999996</v>
      </c>
      <c r="G227" s="16">
        <v>0.43</v>
      </c>
      <c r="H227" s="16">
        <v>0.37</v>
      </c>
      <c r="I227" s="16">
        <v>0.42</v>
      </c>
      <c r="J227" s="16">
        <v>0.57999999999999996</v>
      </c>
      <c r="K227" s="16">
        <v>0.84</v>
      </c>
      <c r="L227" s="16">
        <v>1.1399999999999999</v>
      </c>
      <c r="M227" s="16">
        <v>1.35</v>
      </c>
      <c r="N227" s="17">
        <v>1.35</v>
      </c>
    </row>
    <row r="228" spans="1:14" ht="15.75" thickBot="1" x14ac:dyDescent="0.3">
      <c r="A228" s="2"/>
      <c r="B228" s="22">
        <v>90</v>
      </c>
      <c r="C228" s="18">
        <v>1.1399999999999999</v>
      </c>
      <c r="D228" s="18">
        <v>0.95</v>
      </c>
      <c r="E228" s="18">
        <v>0.73</v>
      </c>
      <c r="F228" s="18">
        <v>0.5</v>
      </c>
      <c r="G228" s="18">
        <v>0.35</v>
      </c>
      <c r="H228" s="18">
        <v>0.28999999999999998</v>
      </c>
      <c r="I228" s="18">
        <v>0.34</v>
      </c>
      <c r="J228" s="18">
        <v>0.5</v>
      </c>
      <c r="K228" s="18">
        <v>0.76</v>
      </c>
      <c r="L228" s="18">
        <v>1.07</v>
      </c>
      <c r="M228" s="18">
        <v>1.29</v>
      </c>
      <c r="N228" s="19">
        <v>1.29</v>
      </c>
    </row>
    <row r="229" spans="1:14" ht="15.75" thickTop="1" x14ac:dyDescent="0.25">
      <c r="A229" s="2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1:14" ht="15.75" thickBot="1" x14ac:dyDescent="0.3">
      <c r="A230" s="2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15.75" thickTop="1" x14ac:dyDescent="0.25">
      <c r="A231" s="2"/>
      <c r="B231" s="8" t="s">
        <v>218</v>
      </c>
      <c r="C231" s="9" t="s">
        <v>196</v>
      </c>
      <c r="D231" s="9" t="s">
        <v>197</v>
      </c>
      <c r="E231" s="9" t="s">
        <v>198</v>
      </c>
      <c r="F231" s="9" t="s">
        <v>199</v>
      </c>
      <c r="G231" s="9" t="s">
        <v>200</v>
      </c>
      <c r="H231" s="9" t="s">
        <v>201</v>
      </c>
      <c r="I231" s="9" t="s">
        <v>202</v>
      </c>
      <c r="J231" s="9" t="s">
        <v>203</v>
      </c>
      <c r="K231" s="9" t="s">
        <v>204</v>
      </c>
      <c r="L231" s="9" t="s">
        <v>205</v>
      </c>
      <c r="M231" s="9" t="s">
        <v>206</v>
      </c>
      <c r="N231" s="10" t="s">
        <v>207</v>
      </c>
    </row>
    <row r="232" spans="1:14" x14ac:dyDescent="0.25">
      <c r="A232" s="2"/>
      <c r="B232" s="27" t="s">
        <v>208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9"/>
    </row>
    <row r="233" spans="1:14" x14ac:dyDescent="0.25">
      <c r="A233" s="2"/>
      <c r="B233" s="20">
        <v>0</v>
      </c>
      <c r="C233" s="14">
        <v>1</v>
      </c>
      <c r="D233" s="14">
        <v>1</v>
      </c>
      <c r="E233" s="14">
        <v>1</v>
      </c>
      <c r="F233" s="14">
        <v>1</v>
      </c>
      <c r="G233" s="14">
        <v>1</v>
      </c>
      <c r="H233" s="14">
        <v>1</v>
      </c>
      <c r="I233" s="14">
        <v>1</v>
      </c>
      <c r="J233" s="14">
        <v>1</v>
      </c>
      <c r="K233" s="14">
        <v>1</v>
      </c>
      <c r="L233" s="14">
        <v>1</v>
      </c>
      <c r="M233" s="14">
        <v>1</v>
      </c>
      <c r="N233" s="15">
        <v>1</v>
      </c>
    </row>
    <row r="234" spans="1:14" x14ac:dyDescent="0.25">
      <c r="A234" s="2"/>
      <c r="B234" s="21">
        <v>5</v>
      </c>
      <c r="C234" s="16">
        <v>1.07</v>
      </c>
      <c r="D234" s="16">
        <v>1.06</v>
      </c>
      <c r="E234" s="16">
        <v>1.05</v>
      </c>
      <c r="F234" s="16">
        <v>1.03</v>
      </c>
      <c r="G234" s="16">
        <v>1.02</v>
      </c>
      <c r="H234" s="16">
        <v>1.02</v>
      </c>
      <c r="I234" s="16">
        <v>1.02</v>
      </c>
      <c r="J234" s="16">
        <v>1.03</v>
      </c>
      <c r="K234" s="16">
        <v>1.05</v>
      </c>
      <c r="L234" s="16">
        <v>1.08</v>
      </c>
      <c r="M234" s="16">
        <v>1.0900000000000001</v>
      </c>
      <c r="N234" s="17">
        <v>1.0900000000000001</v>
      </c>
    </row>
    <row r="235" spans="1:14" x14ac:dyDescent="0.25">
      <c r="A235" s="2"/>
      <c r="B235" s="21">
        <v>10</v>
      </c>
      <c r="C235" s="16">
        <v>1.1399999999999999</v>
      </c>
      <c r="D235" s="16">
        <v>1.1200000000000001</v>
      </c>
      <c r="E235" s="16">
        <v>1.0900000000000001</v>
      </c>
      <c r="F235" s="16">
        <v>1.06</v>
      </c>
      <c r="G235" s="16">
        <v>1.03</v>
      </c>
      <c r="H235" s="16">
        <v>1.02</v>
      </c>
      <c r="I235" s="16">
        <v>1.03</v>
      </c>
      <c r="J235" s="16">
        <v>1.06</v>
      </c>
      <c r="K235" s="16">
        <v>1.1000000000000001</v>
      </c>
      <c r="L235" s="16">
        <v>1.1499999999999999</v>
      </c>
      <c r="M235" s="16">
        <v>1.18</v>
      </c>
      <c r="N235" s="17">
        <v>1.17</v>
      </c>
    </row>
    <row r="236" spans="1:14" x14ac:dyDescent="0.25">
      <c r="A236" s="2"/>
      <c r="B236" s="21">
        <v>15</v>
      </c>
      <c r="C236" s="16">
        <v>1.21</v>
      </c>
      <c r="D236" s="16">
        <v>1.17</v>
      </c>
      <c r="E236" s="16">
        <v>1.1200000000000001</v>
      </c>
      <c r="F236" s="16">
        <v>1.07</v>
      </c>
      <c r="G236" s="16">
        <v>1.04</v>
      </c>
      <c r="H236" s="16">
        <v>1.03</v>
      </c>
      <c r="I236" s="16">
        <v>1.04</v>
      </c>
      <c r="J236" s="16">
        <v>1.08</v>
      </c>
      <c r="K236" s="16">
        <v>1.1399999999999999</v>
      </c>
      <c r="L236" s="16">
        <v>1.21</v>
      </c>
      <c r="M236" s="16">
        <v>1.26</v>
      </c>
      <c r="N236" s="17">
        <v>1.24</v>
      </c>
    </row>
    <row r="237" spans="1:14" x14ac:dyDescent="0.25">
      <c r="A237" s="2"/>
      <c r="B237" s="21">
        <v>20</v>
      </c>
      <c r="C237" s="16">
        <v>1.26</v>
      </c>
      <c r="D237" s="16">
        <v>1.21</v>
      </c>
      <c r="E237" s="16">
        <v>1.1499999999999999</v>
      </c>
      <c r="F237" s="16">
        <v>1.08</v>
      </c>
      <c r="G237" s="16">
        <v>1.04</v>
      </c>
      <c r="H237" s="16">
        <v>1.02</v>
      </c>
      <c r="I237" s="16">
        <v>1.04</v>
      </c>
      <c r="J237" s="16">
        <v>1.0900000000000001</v>
      </c>
      <c r="K237" s="16">
        <v>1.17</v>
      </c>
      <c r="L237" s="16">
        <v>1.27</v>
      </c>
      <c r="M237" s="16">
        <v>1.33</v>
      </c>
      <c r="N237" s="17">
        <v>1.31</v>
      </c>
    </row>
    <row r="238" spans="1:14" x14ac:dyDescent="0.25">
      <c r="A238" s="2"/>
      <c r="B238" s="21">
        <v>25</v>
      </c>
      <c r="C238" s="16">
        <v>1.31</v>
      </c>
      <c r="D238" s="16">
        <v>1.24</v>
      </c>
      <c r="E238" s="16">
        <v>1.17</v>
      </c>
      <c r="F238" s="16">
        <v>1.0900000000000001</v>
      </c>
      <c r="G238" s="16">
        <v>1.03</v>
      </c>
      <c r="H238" s="16">
        <v>1.01</v>
      </c>
      <c r="I238" s="16">
        <v>1.03</v>
      </c>
      <c r="J238" s="16">
        <v>1.1000000000000001</v>
      </c>
      <c r="K238" s="16">
        <v>1.2</v>
      </c>
      <c r="L238" s="16">
        <v>1.32</v>
      </c>
      <c r="M238" s="16">
        <v>1.39</v>
      </c>
      <c r="N238" s="17">
        <v>1.37</v>
      </c>
    </row>
    <row r="239" spans="1:14" x14ac:dyDescent="0.25">
      <c r="A239" s="2"/>
      <c r="B239" s="21">
        <v>30</v>
      </c>
      <c r="C239" s="16">
        <v>1.35</v>
      </c>
      <c r="D239" s="16">
        <v>1.27</v>
      </c>
      <c r="E239" s="16">
        <v>1.18</v>
      </c>
      <c r="F239" s="16">
        <v>1.08</v>
      </c>
      <c r="G239" s="16">
        <v>1.01</v>
      </c>
      <c r="H239" s="16">
        <v>0.99</v>
      </c>
      <c r="I239" s="16">
        <v>1.02</v>
      </c>
      <c r="J239" s="16">
        <v>1.0900000000000001</v>
      </c>
      <c r="K239" s="16">
        <v>1.21</v>
      </c>
      <c r="L239" s="16">
        <v>1.35</v>
      </c>
      <c r="M239" s="16">
        <v>1.44</v>
      </c>
      <c r="N239" s="17">
        <v>1.42</v>
      </c>
    </row>
    <row r="240" spans="1:14" x14ac:dyDescent="0.25">
      <c r="A240" s="2"/>
      <c r="B240" s="21">
        <v>35</v>
      </c>
      <c r="C240" s="16">
        <v>1.38</v>
      </c>
      <c r="D240" s="16">
        <v>1.29</v>
      </c>
      <c r="E240" s="16">
        <v>1.18</v>
      </c>
      <c r="F240" s="16">
        <v>1.07</v>
      </c>
      <c r="G240" s="16">
        <v>0.99</v>
      </c>
      <c r="H240" s="16">
        <v>0.96</v>
      </c>
      <c r="I240" s="16">
        <v>0.99</v>
      </c>
      <c r="J240" s="16">
        <v>1.08</v>
      </c>
      <c r="K240" s="16">
        <v>1.22</v>
      </c>
      <c r="L240" s="16">
        <v>1.38</v>
      </c>
      <c r="M240" s="16">
        <v>1.49</v>
      </c>
      <c r="N240" s="17">
        <v>1.47</v>
      </c>
    </row>
    <row r="241" spans="1:14" x14ac:dyDescent="0.25">
      <c r="A241" s="2"/>
      <c r="B241" s="21">
        <v>40</v>
      </c>
      <c r="C241" s="16">
        <v>1.4</v>
      </c>
      <c r="D241" s="16">
        <v>1.3</v>
      </c>
      <c r="E241" s="16">
        <v>1.18</v>
      </c>
      <c r="F241" s="16">
        <v>1.05</v>
      </c>
      <c r="G241" s="16">
        <v>0.96</v>
      </c>
      <c r="H241" s="16">
        <v>0.93</v>
      </c>
      <c r="I241" s="16">
        <v>0.96</v>
      </c>
      <c r="J241" s="16">
        <v>1.06</v>
      </c>
      <c r="K241" s="16">
        <v>1.22</v>
      </c>
      <c r="L241" s="16">
        <v>1.4</v>
      </c>
      <c r="M241" s="16">
        <v>1.52</v>
      </c>
      <c r="N241" s="17">
        <v>1.5</v>
      </c>
    </row>
    <row r="242" spans="1:14" x14ac:dyDescent="0.25">
      <c r="A242" s="2"/>
      <c r="B242" s="21">
        <v>45</v>
      </c>
      <c r="C242" s="16">
        <v>1.42</v>
      </c>
      <c r="D242" s="16">
        <v>1.3</v>
      </c>
      <c r="E242" s="16">
        <v>1.1599999999999999</v>
      </c>
      <c r="F242" s="16">
        <v>1.03</v>
      </c>
      <c r="G242" s="16">
        <v>0.93</v>
      </c>
      <c r="H242" s="16">
        <v>0.89</v>
      </c>
      <c r="I242" s="16">
        <v>0.93</v>
      </c>
      <c r="J242" s="16">
        <v>1.04</v>
      </c>
      <c r="K242" s="16">
        <v>1.21</v>
      </c>
      <c r="L242" s="16">
        <v>1.41</v>
      </c>
      <c r="M242" s="16">
        <v>1.55</v>
      </c>
      <c r="N242" s="17">
        <v>1.52</v>
      </c>
    </row>
    <row r="243" spans="1:14" x14ac:dyDescent="0.25">
      <c r="A243" s="2"/>
      <c r="B243" s="21">
        <v>50</v>
      </c>
      <c r="C243" s="16">
        <v>1.42</v>
      </c>
      <c r="D243" s="16">
        <v>1.3</v>
      </c>
      <c r="E243" s="16">
        <v>1.1399999999999999</v>
      </c>
      <c r="F243" s="16">
        <v>0.99</v>
      </c>
      <c r="G243" s="16">
        <v>0.88</v>
      </c>
      <c r="H243" s="16">
        <v>0.84</v>
      </c>
      <c r="I243" s="16">
        <v>0.88</v>
      </c>
      <c r="J243" s="16">
        <v>1.01</v>
      </c>
      <c r="K243" s="16">
        <v>1.19</v>
      </c>
      <c r="L243" s="17">
        <v>1.41</v>
      </c>
      <c r="M243" s="16">
        <v>1.56</v>
      </c>
      <c r="N243" s="17">
        <v>1.54</v>
      </c>
    </row>
    <row r="244" spans="1:14" x14ac:dyDescent="0.25">
      <c r="A244" s="2"/>
      <c r="B244" s="21">
        <v>55</v>
      </c>
      <c r="C244" s="16">
        <v>1.42</v>
      </c>
      <c r="D244" s="16">
        <v>1.28</v>
      </c>
      <c r="E244" s="16">
        <v>1.1200000000000001</v>
      </c>
      <c r="F244" s="16">
        <v>0.95</v>
      </c>
      <c r="G244" s="16">
        <v>0.83</v>
      </c>
      <c r="H244" s="16">
        <v>0.79</v>
      </c>
      <c r="I244" s="16">
        <v>0.84</v>
      </c>
      <c r="J244" s="16">
        <v>0.97</v>
      </c>
      <c r="K244" s="16">
        <v>1.17</v>
      </c>
      <c r="L244" s="17">
        <v>1.41</v>
      </c>
      <c r="M244" s="16">
        <v>1.57</v>
      </c>
      <c r="N244" s="17">
        <v>1.54</v>
      </c>
    </row>
    <row r="245" spans="1:14" x14ac:dyDescent="0.25">
      <c r="A245" s="2"/>
      <c r="B245" s="21">
        <v>60</v>
      </c>
      <c r="C245" s="16">
        <v>1.41</v>
      </c>
      <c r="D245" s="16">
        <v>1.26</v>
      </c>
      <c r="E245" s="16">
        <v>1.08</v>
      </c>
      <c r="F245" s="16">
        <v>0.91</v>
      </c>
      <c r="G245" s="16">
        <v>0.78</v>
      </c>
      <c r="H245" s="16">
        <v>0.73</v>
      </c>
      <c r="I245" s="16">
        <v>0.78</v>
      </c>
      <c r="J245" s="16">
        <v>0.92</v>
      </c>
      <c r="K245" s="16">
        <v>1.1399999999999999</v>
      </c>
      <c r="L245" s="16">
        <v>1.39</v>
      </c>
      <c r="M245" s="16">
        <v>1.56</v>
      </c>
      <c r="N245" s="17">
        <v>1.54</v>
      </c>
    </row>
    <row r="246" spans="1:14" x14ac:dyDescent="0.25">
      <c r="A246" s="2"/>
      <c r="B246" s="21">
        <v>65</v>
      </c>
      <c r="C246" s="16">
        <v>1.39</v>
      </c>
      <c r="D246" s="16">
        <v>1.23</v>
      </c>
      <c r="E246" s="16">
        <v>1.04</v>
      </c>
      <c r="F246" s="16">
        <v>0.85</v>
      </c>
      <c r="G246" s="16">
        <v>0.72</v>
      </c>
      <c r="H246" s="16">
        <v>0.67</v>
      </c>
      <c r="I246" s="16">
        <v>0.72</v>
      </c>
      <c r="J246" s="16">
        <v>0.87</v>
      </c>
      <c r="K246" s="16">
        <v>1.0900000000000001</v>
      </c>
      <c r="L246" s="16">
        <v>1.36</v>
      </c>
      <c r="M246" s="16">
        <v>1.54</v>
      </c>
      <c r="N246" s="17">
        <v>1.53</v>
      </c>
    </row>
    <row r="247" spans="1:14" x14ac:dyDescent="0.25">
      <c r="A247" s="2"/>
      <c r="B247" s="21">
        <v>70</v>
      </c>
      <c r="C247" s="16">
        <v>1.36</v>
      </c>
      <c r="D247" s="16">
        <v>1.19</v>
      </c>
      <c r="E247" s="16">
        <v>0.99</v>
      </c>
      <c r="F247" s="16">
        <v>0.8</v>
      </c>
      <c r="G247" s="16">
        <v>0.66</v>
      </c>
      <c r="H247" s="16">
        <v>0.61</v>
      </c>
      <c r="I247" s="16">
        <v>0.66</v>
      </c>
      <c r="J247" s="16">
        <v>0.81</v>
      </c>
      <c r="K247" s="16">
        <v>1.04</v>
      </c>
      <c r="L247" s="16">
        <v>1.32</v>
      </c>
      <c r="M247" s="16">
        <v>1.52</v>
      </c>
      <c r="N247" s="17">
        <v>1.5</v>
      </c>
    </row>
    <row r="248" spans="1:14" x14ac:dyDescent="0.25">
      <c r="A248" s="2"/>
      <c r="B248" s="21">
        <v>75</v>
      </c>
      <c r="C248" s="16">
        <v>1.32</v>
      </c>
      <c r="D248" s="16">
        <v>1.1499999999999999</v>
      </c>
      <c r="E248" s="16">
        <v>0.94</v>
      </c>
      <c r="F248" s="16">
        <v>0.73</v>
      </c>
      <c r="G248" s="16">
        <v>0.59</v>
      </c>
      <c r="H248" s="16">
        <v>0.54</v>
      </c>
      <c r="I248" s="16">
        <v>0.59</v>
      </c>
      <c r="J248" s="16">
        <v>0.74</v>
      </c>
      <c r="K248" s="16">
        <v>0.99</v>
      </c>
      <c r="L248" s="16">
        <v>1.28</v>
      </c>
      <c r="M248" s="16">
        <v>1.48</v>
      </c>
      <c r="N248" s="17">
        <v>1.47</v>
      </c>
    </row>
    <row r="249" spans="1:14" x14ac:dyDescent="0.25">
      <c r="A249" s="2"/>
      <c r="B249" s="21">
        <v>80</v>
      </c>
      <c r="C249" s="16">
        <v>1.28</v>
      </c>
      <c r="D249" s="16">
        <v>1.1000000000000001</v>
      </c>
      <c r="E249" s="16">
        <v>0.88</v>
      </c>
      <c r="F249" s="16">
        <v>0.67</v>
      </c>
      <c r="G249" s="16">
        <v>0.52</v>
      </c>
      <c r="H249" s="16">
        <v>0.46</v>
      </c>
      <c r="I249" s="16">
        <v>0.52</v>
      </c>
      <c r="J249" s="16">
        <v>0.67</v>
      </c>
      <c r="K249" s="16">
        <v>0.93</v>
      </c>
      <c r="L249" s="16">
        <v>1.23</v>
      </c>
      <c r="M249" s="16">
        <v>1.44</v>
      </c>
      <c r="N249" s="17">
        <v>1.43</v>
      </c>
    </row>
    <row r="250" spans="1:14" x14ac:dyDescent="0.25">
      <c r="A250" s="2"/>
      <c r="B250" s="21">
        <v>85</v>
      </c>
      <c r="C250" s="16">
        <v>1.23</v>
      </c>
      <c r="D250" s="16">
        <v>1.04</v>
      </c>
      <c r="E250" s="16">
        <v>0.82</v>
      </c>
      <c r="F250" s="16">
        <v>0.6</v>
      </c>
      <c r="G250" s="16">
        <v>0.44</v>
      </c>
      <c r="H250" s="16">
        <v>0.39</v>
      </c>
      <c r="I250" s="16">
        <v>0.44</v>
      </c>
      <c r="J250" s="16">
        <v>0.6</v>
      </c>
      <c r="K250" s="16">
        <v>0.86</v>
      </c>
      <c r="L250" s="16">
        <v>1.1599999999999999</v>
      </c>
      <c r="M250" s="16">
        <v>1.38</v>
      </c>
      <c r="N250" s="17">
        <v>1.38</v>
      </c>
    </row>
    <row r="251" spans="1:14" ht="15.75" thickBot="1" x14ac:dyDescent="0.3">
      <c r="A251" s="2"/>
      <c r="B251" s="22">
        <v>90</v>
      </c>
      <c r="C251" s="18">
        <v>1.17</v>
      </c>
      <c r="D251" s="18">
        <v>0.98</v>
      </c>
      <c r="E251" s="18">
        <v>0.74</v>
      </c>
      <c r="F251" s="18">
        <v>0.52</v>
      </c>
      <c r="G251" s="18">
        <v>0.36</v>
      </c>
      <c r="H251" s="18">
        <v>0.31</v>
      </c>
      <c r="I251" s="18">
        <v>0.36</v>
      </c>
      <c r="J251" s="18">
        <v>0.52</v>
      </c>
      <c r="K251" s="18">
        <v>0.78</v>
      </c>
      <c r="L251" s="18">
        <v>1.0900000000000001</v>
      </c>
      <c r="M251" s="18">
        <v>1.32</v>
      </c>
      <c r="N251" s="19">
        <v>1.32</v>
      </c>
    </row>
    <row r="252" spans="1:14" ht="15.75" thickTop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 thickBo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 thickTop="1" x14ac:dyDescent="0.25">
      <c r="A254" s="2"/>
      <c r="B254" s="8" t="s">
        <v>219</v>
      </c>
      <c r="C254" s="9" t="s">
        <v>196</v>
      </c>
      <c r="D254" s="9" t="s">
        <v>197</v>
      </c>
      <c r="E254" s="9" t="s">
        <v>198</v>
      </c>
      <c r="F254" s="9" t="s">
        <v>199</v>
      </c>
      <c r="G254" s="9" t="s">
        <v>200</v>
      </c>
      <c r="H254" s="9" t="s">
        <v>201</v>
      </c>
      <c r="I254" s="9" t="s">
        <v>202</v>
      </c>
      <c r="J254" s="9" t="s">
        <v>203</v>
      </c>
      <c r="K254" s="9" t="s">
        <v>204</v>
      </c>
      <c r="L254" s="9" t="s">
        <v>205</v>
      </c>
      <c r="M254" s="9" t="s">
        <v>206</v>
      </c>
      <c r="N254" s="10" t="s">
        <v>207</v>
      </c>
    </row>
    <row r="255" spans="1:14" x14ac:dyDescent="0.25">
      <c r="A255" s="2"/>
      <c r="B255" s="27" t="s">
        <v>208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9"/>
    </row>
    <row r="256" spans="1:14" x14ac:dyDescent="0.25">
      <c r="A256" s="2"/>
      <c r="B256" s="30">
        <v>0</v>
      </c>
      <c r="C256" s="16">
        <v>1</v>
      </c>
      <c r="D256" s="16">
        <v>1</v>
      </c>
      <c r="E256" s="16">
        <v>1</v>
      </c>
      <c r="F256" s="16">
        <v>1</v>
      </c>
      <c r="G256" s="16">
        <v>1</v>
      </c>
      <c r="H256" s="16">
        <v>1</v>
      </c>
      <c r="I256" s="16">
        <v>1</v>
      </c>
      <c r="J256" s="16">
        <v>1</v>
      </c>
      <c r="K256" s="16">
        <v>1</v>
      </c>
      <c r="L256" s="16">
        <v>1</v>
      </c>
      <c r="M256" s="16">
        <v>1</v>
      </c>
      <c r="N256" s="17">
        <v>1</v>
      </c>
    </row>
    <row r="257" spans="1:14" x14ac:dyDescent="0.25">
      <c r="A257" s="2"/>
      <c r="B257" s="30">
        <v>5</v>
      </c>
      <c r="C257" s="16">
        <v>1.08</v>
      </c>
      <c r="D257" s="16">
        <v>1.06</v>
      </c>
      <c r="E257" s="16">
        <v>1.05</v>
      </c>
      <c r="F257" s="16">
        <v>1.03</v>
      </c>
      <c r="G257" s="16">
        <v>1.02</v>
      </c>
      <c r="H257" s="16">
        <v>1.02</v>
      </c>
      <c r="I257" s="16">
        <v>1.02</v>
      </c>
      <c r="J257" s="16">
        <v>1.04</v>
      </c>
      <c r="K257" s="16">
        <v>1.06</v>
      </c>
      <c r="L257" s="16">
        <v>1.08</v>
      </c>
      <c r="M257" s="16">
        <v>1.0900000000000001</v>
      </c>
      <c r="N257" s="17">
        <v>1.0900000000000001</v>
      </c>
    </row>
    <row r="258" spans="1:14" x14ac:dyDescent="0.25">
      <c r="A258" s="2"/>
      <c r="B258" s="30">
        <v>10</v>
      </c>
      <c r="C258" s="16">
        <v>1.1499999999999999</v>
      </c>
      <c r="D258" s="16">
        <v>1.1200000000000001</v>
      </c>
      <c r="E258" s="16">
        <v>1.0900000000000001</v>
      </c>
      <c r="F258" s="16">
        <v>1.06</v>
      </c>
      <c r="G258" s="16">
        <v>1.04</v>
      </c>
      <c r="H258" s="16">
        <v>1.03</v>
      </c>
      <c r="I258" s="16">
        <v>1.04</v>
      </c>
      <c r="J258" s="16">
        <v>1.06</v>
      </c>
      <c r="K258" s="16">
        <v>1.1100000000000001</v>
      </c>
      <c r="L258" s="16">
        <v>1.1499999999999999</v>
      </c>
      <c r="M258" s="16">
        <v>1.18</v>
      </c>
      <c r="N258" s="17">
        <v>1.17</v>
      </c>
    </row>
    <row r="259" spans="1:14" x14ac:dyDescent="0.25">
      <c r="A259" s="2"/>
      <c r="B259" s="30">
        <v>15</v>
      </c>
      <c r="C259" s="16">
        <v>1.21</v>
      </c>
      <c r="D259" s="16">
        <v>1.17</v>
      </c>
      <c r="E259" s="16">
        <v>1.1299999999999999</v>
      </c>
      <c r="F259" s="16">
        <v>1.08</v>
      </c>
      <c r="G259" s="16">
        <v>1.04</v>
      </c>
      <c r="H259" s="16">
        <v>1.03</v>
      </c>
      <c r="I259" s="16">
        <v>1.04</v>
      </c>
      <c r="J259" s="16">
        <v>1.0900000000000001</v>
      </c>
      <c r="K259" s="16">
        <v>1.1499999999999999</v>
      </c>
      <c r="L259" s="16">
        <v>1.22</v>
      </c>
      <c r="M259" s="16">
        <v>1.26</v>
      </c>
      <c r="N259" s="17">
        <v>1.25</v>
      </c>
    </row>
    <row r="260" spans="1:14" x14ac:dyDescent="0.25">
      <c r="A260" s="2"/>
      <c r="B260" s="30">
        <v>20</v>
      </c>
      <c r="C260" s="16">
        <v>1.27</v>
      </c>
      <c r="D260" s="16">
        <v>1.21</v>
      </c>
      <c r="E260" s="16">
        <v>1.1499999999999999</v>
      </c>
      <c r="F260" s="16">
        <v>1.0900000000000001</v>
      </c>
      <c r="G260" s="16">
        <v>1.04</v>
      </c>
      <c r="H260" s="16">
        <v>1.03</v>
      </c>
      <c r="I260" s="16">
        <v>1.05</v>
      </c>
      <c r="J260" s="16">
        <v>1.1000000000000001</v>
      </c>
      <c r="K260" s="16">
        <v>1.18</v>
      </c>
      <c r="L260" s="16">
        <v>1.28</v>
      </c>
      <c r="M260" s="16">
        <v>1.34</v>
      </c>
      <c r="N260" s="17">
        <v>1.32</v>
      </c>
    </row>
    <row r="261" spans="1:14" x14ac:dyDescent="0.25">
      <c r="A261" s="2"/>
      <c r="B261" s="30">
        <v>25</v>
      </c>
      <c r="C261" s="16">
        <v>1.32</v>
      </c>
      <c r="D261" s="16">
        <v>1.25</v>
      </c>
      <c r="E261" s="16">
        <v>1.17</v>
      </c>
      <c r="F261" s="16">
        <v>1.0900000000000001</v>
      </c>
      <c r="G261" s="16">
        <v>1.04</v>
      </c>
      <c r="H261" s="16">
        <v>1.01</v>
      </c>
      <c r="I261" s="16">
        <v>1.04</v>
      </c>
      <c r="J261" s="16">
        <v>1.1000000000000001</v>
      </c>
      <c r="K261" s="16">
        <v>1.21</v>
      </c>
      <c r="L261" s="16">
        <v>1.33</v>
      </c>
      <c r="M261" s="16">
        <v>1.4</v>
      </c>
      <c r="N261" s="17">
        <v>1.38</v>
      </c>
    </row>
    <row r="262" spans="1:14" x14ac:dyDescent="0.25">
      <c r="A262" s="2"/>
      <c r="B262" s="30">
        <v>30</v>
      </c>
      <c r="C262" s="16">
        <v>1.36</v>
      </c>
      <c r="D262" s="16">
        <v>1.28</v>
      </c>
      <c r="E262" s="16">
        <v>1.19</v>
      </c>
      <c r="F262" s="16">
        <v>1.0900000000000001</v>
      </c>
      <c r="G262" s="16">
        <v>1.02</v>
      </c>
      <c r="H262" s="16">
        <v>1</v>
      </c>
      <c r="I262" s="16">
        <v>1.02</v>
      </c>
      <c r="J262" s="16">
        <v>1.1000000000000001</v>
      </c>
      <c r="K262" s="16">
        <v>1.23</v>
      </c>
      <c r="L262" s="16">
        <v>1.37</v>
      </c>
      <c r="M262" s="16">
        <v>1.46</v>
      </c>
      <c r="N262" s="17">
        <v>1.44</v>
      </c>
    </row>
    <row r="263" spans="1:14" x14ac:dyDescent="0.25">
      <c r="A263" s="2"/>
      <c r="B263" s="30">
        <v>35</v>
      </c>
      <c r="C263" s="16">
        <v>1.39</v>
      </c>
      <c r="D263" s="16">
        <v>1.3</v>
      </c>
      <c r="E263" s="16">
        <v>1.19</v>
      </c>
      <c r="F263" s="16">
        <v>1.08</v>
      </c>
      <c r="G263" s="16">
        <v>1</v>
      </c>
      <c r="H263" s="16">
        <v>0.97</v>
      </c>
      <c r="I263" s="16">
        <v>1</v>
      </c>
      <c r="J263" s="16">
        <v>1.0900000000000001</v>
      </c>
      <c r="K263" s="16">
        <v>1.23</v>
      </c>
      <c r="L263" s="16">
        <v>1.4</v>
      </c>
      <c r="M263" s="16">
        <v>1.51</v>
      </c>
      <c r="N263" s="17">
        <v>1.48</v>
      </c>
    </row>
    <row r="264" spans="1:14" x14ac:dyDescent="0.25">
      <c r="A264" s="2"/>
      <c r="B264" s="30">
        <v>40</v>
      </c>
      <c r="C264" s="16">
        <v>1.42</v>
      </c>
      <c r="D264" s="16">
        <v>1.31</v>
      </c>
      <c r="E264" s="16">
        <v>1.19</v>
      </c>
      <c r="F264" s="16">
        <v>1.06</v>
      </c>
      <c r="G264" s="16">
        <v>0.97</v>
      </c>
      <c r="H264" s="16">
        <v>0.94</v>
      </c>
      <c r="I264" s="16">
        <v>0.97</v>
      </c>
      <c r="J264" s="16">
        <v>1.08</v>
      </c>
      <c r="K264" s="16">
        <v>1.24</v>
      </c>
      <c r="L264" s="16">
        <v>1.42</v>
      </c>
      <c r="M264" s="16">
        <v>1.54</v>
      </c>
      <c r="N264" s="17">
        <v>1.52</v>
      </c>
    </row>
    <row r="265" spans="1:14" x14ac:dyDescent="0.25">
      <c r="A265" s="2"/>
      <c r="B265" s="30">
        <v>45</v>
      </c>
      <c r="C265" s="16">
        <v>1.43</v>
      </c>
      <c r="D265" s="16">
        <v>1.32</v>
      </c>
      <c r="E265" s="16">
        <v>1.18</v>
      </c>
      <c r="F265" s="16">
        <v>1.04</v>
      </c>
      <c r="G265" s="16">
        <v>0.94</v>
      </c>
      <c r="H265" s="16">
        <v>0.9</v>
      </c>
      <c r="I265" s="16">
        <v>0.94</v>
      </c>
      <c r="J265" s="16">
        <v>1.05</v>
      </c>
      <c r="K265" s="16">
        <v>1.23</v>
      </c>
      <c r="L265" s="16">
        <v>1.43</v>
      </c>
      <c r="M265" s="16">
        <v>1.57</v>
      </c>
      <c r="N265" s="17">
        <v>1.54</v>
      </c>
    </row>
    <row r="266" spans="1:14" x14ac:dyDescent="0.25">
      <c r="A266" s="2"/>
      <c r="B266" s="30">
        <v>50</v>
      </c>
      <c r="C266" s="16">
        <v>1.44</v>
      </c>
      <c r="D266" s="16">
        <v>1.31</v>
      </c>
      <c r="E266" s="16">
        <v>1.1599999999999999</v>
      </c>
      <c r="F266" s="16">
        <v>1</v>
      </c>
      <c r="G266" s="16">
        <v>0.89</v>
      </c>
      <c r="H266" s="16">
        <v>0.86</v>
      </c>
      <c r="I266" s="16">
        <v>0.9</v>
      </c>
      <c r="J266" s="16">
        <v>1.02</v>
      </c>
      <c r="K266" s="16">
        <v>1.21</v>
      </c>
      <c r="L266" s="16">
        <v>1.44</v>
      </c>
      <c r="M266" s="16">
        <v>1.59</v>
      </c>
      <c r="N266" s="17">
        <v>1.56</v>
      </c>
    </row>
    <row r="267" spans="1:14" x14ac:dyDescent="0.25">
      <c r="A267" s="2"/>
      <c r="B267" s="30">
        <v>55</v>
      </c>
      <c r="C267" s="16">
        <v>1.44</v>
      </c>
      <c r="D267" s="16">
        <v>1.3</v>
      </c>
      <c r="E267" s="16">
        <v>1.1299999999999999</v>
      </c>
      <c r="F267" s="16">
        <v>0.97</v>
      </c>
      <c r="G267" s="16">
        <v>0.85</v>
      </c>
      <c r="H267" s="16">
        <v>0.8</v>
      </c>
      <c r="I267" s="16">
        <v>0.85</v>
      </c>
      <c r="J267" s="16">
        <v>0.98</v>
      </c>
      <c r="K267" s="16">
        <v>1.19</v>
      </c>
      <c r="L267" s="16">
        <v>1.43</v>
      </c>
      <c r="M267" s="16">
        <v>1.59</v>
      </c>
      <c r="N267" s="17">
        <v>1.57</v>
      </c>
    </row>
    <row r="268" spans="1:14" x14ac:dyDescent="0.25">
      <c r="A268" s="2"/>
      <c r="B268" s="30">
        <v>60</v>
      </c>
      <c r="C268" s="16">
        <v>1.43</v>
      </c>
      <c r="D268" s="16">
        <v>1.28</v>
      </c>
      <c r="E268" s="16">
        <v>1.1000000000000001</v>
      </c>
      <c r="F268" s="16">
        <v>0.92</v>
      </c>
      <c r="G268" s="16">
        <v>0.79</v>
      </c>
      <c r="H268" s="16">
        <v>0.75</v>
      </c>
      <c r="I268" s="16">
        <v>0.8</v>
      </c>
      <c r="J268" s="16">
        <v>0.93</v>
      </c>
      <c r="K268" s="16">
        <v>1.1499999999999999</v>
      </c>
      <c r="L268" s="16">
        <v>1.41</v>
      </c>
      <c r="M268" s="16">
        <v>1.59</v>
      </c>
      <c r="N268" s="17">
        <v>1.57</v>
      </c>
    </row>
    <row r="269" spans="1:14" x14ac:dyDescent="0.25">
      <c r="A269" s="2"/>
      <c r="B269" s="30">
        <v>65</v>
      </c>
      <c r="C269" s="16">
        <v>1.41</v>
      </c>
      <c r="D269" s="16">
        <v>1.25</v>
      </c>
      <c r="E269" s="16">
        <v>1.06</v>
      </c>
      <c r="F269" s="16">
        <v>0.87</v>
      </c>
      <c r="G269" s="16">
        <v>0.74</v>
      </c>
      <c r="H269" s="16">
        <v>0.69</v>
      </c>
      <c r="I269" s="16">
        <v>0.74</v>
      </c>
      <c r="J269" s="16">
        <v>0.88</v>
      </c>
      <c r="K269" s="16">
        <v>1.1100000000000001</v>
      </c>
      <c r="L269" s="16">
        <v>1.39</v>
      </c>
      <c r="M269" s="16">
        <v>1.57</v>
      </c>
      <c r="N269" s="17">
        <v>1.55</v>
      </c>
    </row>
    <row r="270" spans="1:14" x14ac:dyDescent="0.25">
      <c r="A270" s="2"/>
      <c r="B270" s="30">
        <v>70</v>
      </c>
      <c r="C270" s="16">
        <v>1.38</v>
      </c>
      <c r="D270" s="16">
        <v>1.21</v>
      </c>
      <c r="E270" s="16">
        <v>1.01</v>
      </c>
      <c r="F270" s="16">
        <v>0.81</v>
      </c>
      <c r="G270" s="16">
        <v>0.67</v>
      </c>
      <c r="H270" s="16">
        <v>0.62</v>
      </c>
      <c r="I270" s="16">
        <v>0.67</v>
      </c>
      <c r="J270" s="16">
        <v>0.82</v>
      </c>
      <c r="K270" s="16">
        <v>1.07</v>
      </c>
      <c r="L270" s="16">
        <v>1.35</v>
      </c>
      <c r="M270" s="16">
        <v>1.55</v>
      </c>
      <c r="N270" s="17">
        <v>1.53</v>
      </c>
    </row>
    <row r="271" spans="1:14" x14ac:dyDescent="0.25">
      <c r="A271" s="2"/>
      <c r="B271" s="30">
        <v>75</v>
      </c>
      <c r="C271" s="16">
        <v>1.35</v>
      </c>
      <c r="D271" s="16">
        <v>1.17</v>
      </c>
      <c r="E271" s="16">
        <v>0.96</v>
      </c>
      <c r="F271" s="16">
        <v>0.75</v>
      </c>
      <c r="G271" s="16">
        <v>0.6</v>
      </c>
      <c r="H271" s="16">
        <v>0.55000000000000004</v>
      </c>
      <c r="I271" s="16">
        <v>0.6</v>
      </c>
      <c r="J271" s="16">
        <v>0.76</v>
      </c>
      <c r="K271" s="16">
        <v>1.01</v>
      </c>
      <c r="L271" s="16">
        <v>1.31</v>
      </c>
      <c r="M271" s="16">
        <v>1.52</v>
      </c>
      <c r="N271" s="17">
        <v>1.5</v>
      </c>
    </row>
    <row r="272" spans="1:14" x14ac:dyDescent="0.25">
      <c r="A272" s="2"/>
      <c r="B272" s="30">
        <v>80</v>
      </c>
      <c r="C272" s="16">
        <v>1.3</v>
      </c>
      <c r="D272" s="16">
        <v>1.1200000000000001</v>
      </c>
      <c r="E272" s="16">
        <v>0.9</v>
      </c>
      <c r="F272" s="16">
        <v>0.68</v>
      </c>
      <c r="G272" s="16">
        <v>0.53</v>
      </c>
      <c r="H272" s="16">
        <v>0.48</v>
      </c>
      <c r="I272" s="16">
        <v>0.53</v>
      </c>
      <c r="J272" s="16">
        <v>0.69</v>
      </c>
      <c r="K272" s="16">
        <v>0.95</v>
      </c>
      <c r="L272" s="16">
        <v>1.25</v>
      </c>
      <c r="M272" s="16">
        <v>1.47</v>
      </c>
      <c r="N272" s="17">
        <v>1.46</v>
      </c>
    </row>
    <row r="273" spans="1:14" x14ac:dyDescent="0.25">
      <c r="A273" s="2"/>
      <c r="B273" s="30">
        <v>85</v>
      </c>
      <c r="C273" s="16">
        <v>1.25</v>
      </c>
      <c r="D273" s="16">
        <v>1.06</v>
      </c>
      <c r="E273" s="16">
        <v>0.83</v>
      </c>
      <c r="F273" s="16">
        <v>0.61</v>
      </c>
      <c r="G273" s="16">
        <v>0.46</v>
      </c>
      <c r="H273" s="16">
        <v>0.4</v>
      </c>
      <c r="I273" s="16">
        <v>0.46</v>
      </c>
      <c r="J273" s="16">
        <v>0.62</v>
      </c>
      <c r="K273" s="16">
        <v>0.88</v>
      </c>
      <c r="L273" s="16">
        <v>1.19</v>
      </c>
      <c r="M273" s="16">
        <v>1.42</v>
      </c>
      <c r="N273" s="17">
        <v>1.41</v>
      </c>
    </row>
    <row r="274" spans="1:14" ht="15.75" thickBot="1" x14ac:dyDescent="0.3">
      <c r="A274" s="2"/>
      <c r="B274" s="33">
        <v>90</v>
      </c>
      <c r="C274" s="34">
        <v>1.19</v>
      </c>
      <c r="D274" s="34">
        <v>1</v>
      </c>
      <c r="E274" s="34">
        <v>0.76</v>
      </c>
      <c r="F274" s="34">
        <v>0.54</v>
      </c>
      <c r="G274" s="34">
        <v>0.38</v>
      </c>
      <c r="H274" s="34">
        <v>0.32</v>
      </c>
      <c r="I274" s="34">
        <v>0.38</v>
      </c>
      <c r="J274" s="34">
        <v>0.54</v>
      </c>
      <c r="K274" s="34">
        <v>0.81</v>
      </c>
      <c r="L274" s="34">
        <v>1.1200000000000001</v>
      </c>
      <c r="M274" s="34">
        <v>1.36</v>
      </c>
      <c r="N274" s="35">
        <v>1.35</v>
      </c>
    </row>
    <row r="275" spans="1:14" ht="15.75" thickTop="1" x14ac:dyDescent="0.25">
      <c r="A275" s="2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</row>
    <row r="276" spans="1:14" ht="15.75" thickBot="1" x14ac:dyDescent="0.3">
      <c r="A276" s="2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5.75" thickTop="1" x14ac:dyDescent="0.25">
      <c r="A277" s="2"/>
      <c r="B277" s="8" t="s">
        <v>220</v>
      </c>
      <c r="C277" s="9" t="s">
        <v>196</v>
      </c>
      <c r="D277" s="9" t="s">
        <v>197</v>
      </c>
      <c r="E277" s="9" t="s">
        <v>198</v>
      </c>
      <c r="F277" s="9" t="s">
        <v>199</v>
      </c>
      <c r="G277" s="9" t="s">
        <v>200</v>
      </c>
      <c r="H277" s="9" t="s">
        <v>201</v>
      </c>
      <c r="I277" s="9" t="s">
        <v>202</v>
      </c>
      <c r="J277" s="9" t="s">
        <v>203</v>
      </c>
      <c r="K277" s="9" t="s">
        <v>204</v>
      </c>
      <c r="L277" s="9" t="s">
        <v>205</v>
      </c>
      <c r="M277" s="9" t="s">
        <v>206</v>
      </c>
      <c r="N277" s="10" t="s">
        <v>207</v>
      </c>
    </row>
    <row r="278" spans="1:14" ht="15.75" thickBot="1" x14ac:dyDescent="0.3">
      <c r="A278" s="2"/>
      <c r="B278" s="11" t="s">
        <v>208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3"/>
    </row>
    <row r="279" spans="1:14" ht="15.75" thickTop="1" x14ac:dyDescent="0.25">
      <c r="A279" s="2"/>
      <c r="B279" s="30">
        <v>0</v>
      </c>
      <c r="C279" s="16">
        <v>1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  <c r="J279" s="16">
        <v>1</v>
      </c>
      <c r="K279" s="16">
        <v>1</v>
      </c>
      <c r="L279" s="16">
        <v>1</v>
      </c>
      <c r="M279" s="16">
        <v>1</v>
      </c>
      <c r="N279" s="17">
        <v>1</v>
      </c>
    </row>
    <row r="280" spans="1:14" x14ac:dyDescent="0.25">
      <c r="A280" s="2"/>
      <c r="B280" s="30">
        <v>5</v>
      </c>
      <c r="C280" s="16">
        <v>1.08</v>
      </c>
      <c r="D280" s="16">
        <v>1.07</v>
      </c>
      <c r="E280" s="16">
        <v>1.05</v>
      </c>
      <c r="F280" s="16">
        <v>1.03</v>
      </c>
      <c r="G280" s="16">
        <v>1.02</v>
      </c>
      <c r="H280" s="16">
        <v>1.02</v>
      </c>
      <c r="I280" s="16">
        <v>1.02</v>
      </c>
      <c r="J280" s="16">
        <v>1.04</v>
      </c>
      <c r="K280" s="16">
        <v>1.06</v>
      </c>
      <c r="L280" s="16">
        <v>1.08</v>
      </c>
      <c r="M280" s="16">
        <v>1.1000000000000001</v>
      </c>
      <c r="N280" s="17">
        <v>1.0900000000000001</v>
      </c>
    </row>
    <row r="281" spans="1:14" x14ac:dyDescent="0.25">
      <c r="A281" s="2"/>
      <c r="B281" s="30">
        <v>10</v>
      </c>
      <c r="C281" s="16">
        <v>1.1499999999999999</v>
      </c>
      <c r="D281" s="16">
        <v>1.1200000000000001</v>
      </c>
      <c r="E281" s="16">
        <v>1.0900000000000001</v>
      </c>
      <c r="F281" s="16">
        <v>1.06</v>
      </c>
      <c r="G281" s="16">
        <v>1.02</v>
      </c>
      <c r="H281" s="16">
        <v>1.03</v>
      </c>
      <c r="I281" s="16">
        <v>1.04</v>
      </c>
      <c r="J281" s="16">
        <v>1.07</v>
      </c>
      <c r="K281" s="16">
        <v>1.1100000000000001</v>
      </c>
      <c r="L281" s="16">
        <v>1.1599999999999999</v>
      </c>
      <c r="M281" s="16">
        <v>1.19</v>
      </c>
      <c r="N281" s="17">
        <v>1.18</v>
      </c>
    </row>
    <row r="282" spans="1:14" x14ac:dyDescent="0.25">
      <c r="A282" s="2"/>
      <c r="B282" s="30">
        <v>15</v>
      </c>
      <c r="C282" s="16">
        <v>1.22</v>
      </c>
      <c r="D282" s="16">
        <v>1.18</v>
      </c>
      <c r="E282" s="16">
        <v>1.1299999999999999</v>
      </c>
      <c r="F282" s="16">
        <v>1.08</v>
      </c>
      <c r="G282" s="16">
        <v>1.05</v>
      </c>
      <c r="H282" s="16">
        <v>1.03</v>
      </c>
      <c r="I282" s="16">
        <v>1.05</v>
      </c>
      <c r="J282" s="16">
        <v>1.0900000000000001</v>
      </c>
      <c r="K282" s="16">
        <v>1.1499999999999999</v>
      </c>
      <c r="L282" s="16">
        <v>1.23</v>
      </c>
      <c r="M282" s="16">
        <v>1.27</v>
      </c>
      <c r="N282" s="17">
        <v>1.26</v>
      </c>
    </row>
    <row r="283" spans="1:14" x14ac:dyDescent="0.25">
      <c r="A283" s="2"/>
      <c r="B283" s="30">
        <v>20</v>
      </c>
      <c r="C283" s="16">
        <v>1.28</v>
      </c>
      <c r="D283" s="16">
        <v>1.22</v>
      </c>
      <c r="E283" s="16">
        <v>1.1599999999999999</v>
      </c>
      <c r="F283" s="16">
        <v>1.0900000000000001</v>
      </c>
      <c r="G283" s="16">
        <v>1.05</v>
      </c>
      <c r="H283" s="16">
        <v>1.03</v>
      </c>
      <c r="I283" s="16">
        <v>1.05</v>
      </c>
      <c r="J283" s="16">
        <v>1.1000000000000001</v>
      </c>
      <c r="K283" s="16">
        <v>1.19</v>
      </c>
      <c r="L283" s="16">
        <v>1.29</v>
      </c>
      <c r="M283" s="16">
        <v>1.35</v>
      </c>
      <c r="N283" s="17">
        <v>1.33</v>
      </c>
    </row>
    <row r="284" spans="1:14" x14ac:dyDescent="0.25">
      <c r="A284" s="2"/>
      <c r="B284" s="30">
        <v>25</v>
      </c>
      <c r="C284" s="16">
        <v>1.33</v>
      </c>
      <c r="D284" s="16">
        <v>1.26</v>
      </c>
      <c r="E284" s="16">
        <v>1.18</v>
      </c>
      <c r="F284" s="16">
        <v>1.1000000000000001</v>
      </c>
      <c r="G284" s="16">
        <v>1.04</v>
      </c>
      <c r="H284" s="16">
        <v>1.02</v>
      </c>
      <c r="I284" s="16">
        <v>1.04</v>
      </c>
      <c r="J284" s="16">
        <v>1.1100000000000001</v>
      </c>
      <c r="K284" s="16">
        <v>1.22</v>
      </c>
      <c r="L284" s="16">
        <v>1.34</v>
      </c>
      <c r="M284" s="16">
        <v>1.42</v>
      </c>
      <c r="N284" s="17">
        <v>1.4</v>
      </c>
    </row>
    <row r="285" spans="1:14" x14ac:dyDescent="0.25">
      <c r="A285" s="2"/>
      <c r="B285" s="30">
        <v>30</v>
      </c>
      <c r="C285" s="16">
        <v>1.37</v>
      </c>
      <c r="D285" s="16">
        <v>1.29</v>
      </c>
      <c r="E285" s="16">
        <v>1.2</v>
      </c>
      <c r="F285" s="16">
        <v>1.1000000000000001</v>
      </c>
      <c r="G285" s="16">
        <v>1.03</v>
      </c>
      <c r="H285" s="16">
        <v>1</v>
      </c>
      <c r="I285" s="16">
        <v>1.03</v>
      </c>
      <c r="J285" s="16">
        <v>1.1100000000000001</v>
      </c>
      <c r="K285" s="16">
        <v>1.24</v>
      </c>
      <c r="L285" s="16">
        <v>1.38</v>
      </c>
      <c r="M285" s="16">
        <v>1.48</v>
      </c>
      <c r="N285" s="17">
        <v>1.45</v>
      </c>
    </row>
    <row r="286" spans="1:14" x14ac:dyDescent="0.25">
      <c r="A286" s="2"/>
      <c r="B286" s="30">
        <v>35</v>
      </c>
      <c r="C286" s="16">
        <v>1.41</v>
      </c>
      <c r="D286" s="16">
        <v>1.31</v>
      </c>
      <c r="E286" s="16">
        <v>1.2</v>
      </c>
      <c r="F286" s="16">
        <v>1.0900000000000001</v>
      </c>
      <c r="G286" s="16">
        <v>1.01</v>
      </c>
      <c r="H286" s="16">
        <v>0.98</v>
      </c>
      <c r="I286" s="16">
        <v>1.01</v>
      </c>
      <c r="J286" s="16">
        <v>1.1000000000000001</v>
      </c>
      <c r="K286" s="16">
        <v>1.25</v>
      </c>
      <c r="L286" s="16">
        <v>1.42</v>
      </c>
      <c r="M286" s="16">
        <v>1.52</v>
      </c>
      <c r="N286" s="17">
        <v>1.5</v>
      </c>
    </row>
    <row r="287" spans="1:14" x14ac:dyDescent="0.25">
      <c r="A287" s="2"/>
      <c r="B287" s="30">
        <v>40</v>
      </c>
      <c r="C287" s="16">
        <v>1.43</v>
      </c>
      <c r="D287" s="16">
        <v>1.33</v>
      </c>
      <c r="E287" s="16">
        <v>1.2</v>
      </c>
      <c r="F287" s="16">
        <v>1.07</v>
      </c>
      <c r="G287" s="16">
        <v>0.98</v>
      </c>
      <c r="H287" s="16">
        <v>0.95</v>
      </c>
      <c r="I287" s="16">
        <v>0.98</v>
      </c>
      <c r="J287" s="16">
        <v>1.0900000000000001</v>
      </c>
      <c r="K287" s="16">
        <v>1.25</v>
      </c>
      <c r="L287" s="16">
        <v>1.44</v>
      </c>
      <c r="M287" s="16">
        <v>1.56</v>
      </c>
      <c r="N287" s="17">
        <v>1.54</v>
      </c>
    </row>
    <row r="288" spans="1:14" x14ac:dyDescent="0.25">
      <c r="A288" s="2"/>
      <c r="B288" s="30">
        <v>45</v>
      </c>
      <c r="C288" s="16">
        <v>1.45</v>
      </c>
      <c r="D288" s="16">
        <v>1.33</v>
      </c>
      <c r="E288" s="16">
        <v>1.19</v>
      </c>
      <c r="F288" s="16">
        <v>1.05</v>
      </c>
      <c r="G288" s="16">
        <v>0.95</v>
      </c>
      <c r="H288" s="16">
        <v>0.91</v>
      </c>
      <c r="I288" s="16">
        <v>0.95</v>
      </c>
      <c r="J288" s="16">
        <v>1.06</v>
      </c>
      <c r="K288" s="16">
        <v>1.24</v>
      </c>
      <c r="L288" s="16">
        <v>1.45</v>
      </c>
      <c r="M288" s="16">
        <v>1.59</v>
      </c>
      <c r="N288" s="17">
        <v>1.57</v>
      </c>
    </row>
    <row r="289" spans="1:14" x14ac:dyDescent="0.25">
      <c r="A289" s="2"/>
      <c r="B289" s="30">
        <v>50</v>
      </c>
      <c r="C289" s="16">
        <v>1.46</v>
      </c>
      <c r="D289" s="16">
        <v>1.33</v>
      </c>
      <c r="E289" s="16">
        <v>1.17</v>
      </c>
      <c r="F289" s="16">
        <v>1.02</v>
      </c>
      <c r="G289" s="16">
        <v>0.91</v>
      </c>
      <c r="H289" s="16">
        <v>0.87</v>
      </c>
      <c r="I289" s="16">
        <v>0.91</v>
      </c>
      <c r="J289" s="16">
        <v>1.03</v>
      </c>
      <c r="K289" s="16">
        <v>1.23</v>
      </c>
      <c r="L289" s="16">
        <v>1.46</v>
      </c>
      <c r="M289" s="16">
        <v>1.61</v>
      </c>
      <c r="N289" s="17">
        <v>1.58</v>
      </c>
    </row>
    <row r="290" spans="1:14" x14ac:dyDescent="0.25">
      <c r="A290" s="2"/>
      <c r="B290" s="30">
        <v>55</v>
      </c>
      <c r="C290" s="16">
        <v>1.46</v>
      </c>
      <c r="D290" s="16">
        <v>1.32</v>
      </c>
      <c r="E290" s="16">
        <v>1.1499999999999999</v>
      </c>
      <c r="F290" s="16">
        <v>0.98</v>
      </c>
      <c r="G290" s="16">
        <v>0.86</v>
      </c>
      <c r="H290" s="16">
        <v>0.82</v>
      </c>
      <c r="I290" s="16">
        <v>0.86</v>
      </c>
      <c r="J290" s="16">
        <v>1</v>
      </c>
      <c r="K290" s="16">
        <v>1.21</v>
      </c>
      <c r="L290" s="16">
        <v>1.45</v>
      </c>
      <c r="M290" s="16">
        <v>1.62</v>
      </c>
      <c r="N290" s="17">
        <v>1.59</v>
      </c>
    </row>
    <row r="291" spans="1:14" x14ac:dyDescent="0.25">
      <c r="A291" s="2"/>
      <c r="B291" s="30">
        <v>60</v>
      </c>
      <c r="C291" s="16">
        <v>1.45</v>
      </c>
      <c r="D291" s="16">
        <v>1.3</v>
      </c>
      <c r="E291" s="16">
        <v>1.1200000000000001</v>
      </c>
      <c r="F291" s="16">
        <v>0.94</v>
      </c>
      <c r="G291" s="16">
        <v>0.81</v>
      </c>
      <c r="H291" s="16">
        <v>0.76</v>
      </c>
      <c r="I291" s="16">
        <v>0.81</v>
      </c>
      <c r="J291" s="16">
        <v>0.95</v>
      </c>
      <c r="K291" s="16">
        <v>1.17</v>
      </c>
      <c r="L291" s="16">
        <v>1.44</v>
      </c>
      <c r="M291" s="16">
        <v>1.62</v>
      </c>
      <c r="N291" s="17">
        <v>1.59</v>
      </c>
    </row>
    <row r="292" spans="1:14" x14ac:dyDescent="0.25">
      <c r="A292" s="2"/>
      <c r="B292" s="30">
        <v>65</v>
      </c>
      <c r="C292" s="16">
        <v>1.43</v>
      </c>
      <c r="D292" s="16">
        <v>1.27</v>
      </c>
      <c r="E292" s="16">
        <v>1.08</v>
      </c>
      <c r="F292" s="16">
        <v>0.89</v>
      </c>
      <c r="G292" s="16">
        <v>0.75</v>
      </c>
      <c r="H292" s="16">
        <v>0.7</v>
      </c>
      <c r="I292" s="16">
        <v>0.75</v>
      </c>
      <c r="J292" s="16">
        <v>0.9</v>
      </c>
      <c r="K292" s="16">
        <v>1.1299999999999999</v>
      </c>
      <c r="L292" s="16">
        <v>1.41</v>
      </c>
      <c r="M292" s="16">
        <v>1.61</v>
      </c>
      <c r="N292" s="17">
        <v>1.58</v>
      </c>
    </row>
    <row r="293" spans="1:14" x14ac:dyDescent="0.25">
      <c r="A293" s="2"/>
      <c r="B293" s="30">
        <v>70</v>
      </c>
      <c r="C293" s="16">
        <v>1.41</v>
      </c>
      <c r="D293" s="16">
        <v>1.23</v>
      </c>
      <c r="E293" s="16">
        <v>1.03</v>
      </c>
      <c r="F293" s="16">
        <v>0.83</v>
      </c>
      <c r="G293" s="16">
        <v>0.69</v>
      </c>
      <c r="H293" s="16">
        <v>0.64</v>
      </c>
      <c r="I293" s="16">
        <v>0.69</v>
      </c>
      <c r="J293" s="16">
        <v>0.84</v>
      </c>
      <c r="K293" s="16">
        <v>1.0900000000000001</v>
      </c>
      <c r="L293" s="16">
        <v>1.38</v>
      </c>
      <c r="M293" s="16">
        <v>1.58</v>
      </c>
      <c r="N293" s="17">
        <v>1.56</v>
      </c>
    </row>
    <row r="294" spans="1:14" x14ac:dyDescent="0.25">
      <c r="A294" s="2"/>
      <c r="B294" s="30">
        <v>75</v>
      </c>
      <c r="C294" s="16">
        <v>1.37</v>
      </c>
      <c r="D294" s="16">
        <v>1.19</v>
      </c>
      <c r="E294" s="16">
        <v>0.98</v>
      </c>
      <c r="F294" s="16">
        <v>0.77</v>
      </c>
      <c r="G294" s="16">
        <v>0.62</v>
      </c>
      <c r="H294" s="16">
        <v>0.56999999999999995</v>
      </c>
      <c r="I294" s="16">
        <v>0.62</v>
      </c>
      <c r="J294" s="16">
        <v>0.78</v>
      </c>
      <c r="K294" s="16">
        <v>1.03</v>
      </c>
      <c r="L294" s="16">
        <v>1.34</v>
      </c>
      <c r="M294" s="16">
        <v>1.55</v>
      </c>
      <c r="N294" s="17">
        <v>1.53</v>
      </c>
    </row>
    <row r="295" spans="1:14" x14ac:dyDescent="0.25">
      <c r="A295" s="2"/>
      <c r="B295" s="30">
        <v>80</v>
      </c>
      <c r="C295" s="16">
        <v>1.33</v>
      </c>
      <c r="D295" s="16">
        <v>1.1399999999999999</v>
      </c>
      <c r="E295" s="16">
        <v>0.92</v>
      </c>
      <c r="F295" s="16">
        <v>0.7</v>
      </c>
      <c r="G295" s="16">
        <v>0.55000000000000004</v>
      </c>
      <c r="H295" s="16">
        <v>0.49</v>
      </c>
      <c r="I295" s="16">
        <v>0.55000000000000004</v>
      </c>
      <c r="J295" s="16">
        <v>0.71</v>
      </c>
      <c r="K295" s="16">
        <v>0.97</v>
      </c>
      <c r="L295" s="16">
        <v>1.28</v>
      </c>
      <c r="M295" s="16">
        <v>1.51</v>
      </c>
      <c r="N295" s="17">
        <v>1.49</v>
      </c>
    </row>
    <row r="296" spans="1:14" x14ac:dyDescent="0.25">
      <c r="A296" s="2"/>
      <c r="B296" s="30">
        <v>85</v>
      </c>
      <c r="C296" s="16">
        <v>1.28</v>
      </c>
      <c r="D296" s="16">
        <v>1.08</v>
      </c>
      <c r="E296" s="16">
        <v>0.85</v>
      </c>
      <c r="F296" s="16">
        <v>0.63</v>
      </c>
      <c r="G296" s="16">
        <v>0.47</v>
      </c>
      <c r="H296" s="16">
        <v>0.42</v>
      </c>
      <c r="I296" s="16">
        <v>0.47</v>
      </c>
      <c r="J296" s="16">
        <v>0.64</v>
      </c>
      <c r="K296" s="16">
        <v>0.9</v>
      </c>
      <c r="L296" s="16">
        <v>1.22</v>
      </c>
      <c r="M296" s="16">
        <v>1.45</v>
      </c>
      <c r="N296" s="17">
        <v>1.44</v>
      </c>
    </row>
    <row r="297" spans="1:14" ht="15.75" thickBot="1" x14ac:dyDescent="0.3">
      <c r="A297" s="2"/>
      <c r="B297" s="31">
        <v>90</v>
      </c>
      <c r="C297" s="18">
        <v>1.22</v>
      </c>
      <c r="D297" s="18">
        <v>1.02</v>
      </c>
      <c r="E297" s="18">
        <v>0.78</v>
      </c>
      <c r="F297" s="18">
        <v>0.56000000000000005</v>
      </c>
      <c r="G297" s="18">
        <v>0.4</v>
      </c>
      <c r="H297" s="18">
        <v>0.34</v>
      </c>
      <c r="I297" s="18">
        <v>0.39</v>
      </c>
      <c r="J297" s="18">
        <v>0.56000000000000005</v>
      </c>
      <c r="K297" s="18">
        <v>0.83</v>
      </c>
      <c r="L297" s="18">
        <v>1.1599999999999999</v>
      </c>
      <c r="M297" s="18">
        <v>1.39</v>
      </c>
      <c r="N297" s="19">
        <v>1.38</v>
      </c>
    </row>
    <row r="298" spans="1:14" ht="15.75" thickTop="1" x14ac:dyDescent="0.25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Inicio</vt:lpstr>
      <vt:lpstr>Demanda</vt:lpstr>
      <vt:lpstr>EST</vt:lpstr>
      <vt:lpstr>Aerotermia</vt:lpstr>
      <vt:lpstr>FV</vt:lpstr>
      <vt:lpstr>Modelos de captadores</vt:lpstr>
      <vt:lpstr>Modelos de modulos FV</vt:lpstr>
      <vt:lpstr>Aux</vt:lpstr>
      <vt:lpstr>Aux1</vt:lpstr>
      <vt:lpstr>_LAT28</vt:lpstr>
      <vt:lpstr>_LAT29</vt:lpstr>
      <vt:lpstr>_LAT34</vt:lpstr>
      <vt:lpstr>_LAT35</vt:lpstr>
      <vt:lpstr>_LAT36</vt:lpstr>
      <vt:lpstr>_LAT37</vt:lpstr>
      <vt:lpstr>_LAT38</vt:lpstr>
      <vt:lpstr>_LAT39</vt:lpstr>
      <vt:lpstr>_LAT40</vt:lpstr>
      <vt:lpstr>_LAT41</vt:lpstr>
      <vt:lpstr>_LAT42</vt:lpstr>
      <vt:lpstr>_LAT43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jdbie</dc:creator>
  <cp:lastModifiedBy>EGC</cp:lastModifiedBy>
  <dcterms:created xsi:type="dcterms:W3CDTF">2021-02-22T09:25:59Z</dcterms:created>
  <dcterms:modified xsi:type="dcterms:W3CDTF">2023-04-12T12:19:05Z</dcterms:modified>
</cp:coreProperties>
</file>